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FORMULA RATES SPP\Annual Update Transmission Rates AEP West SPP OpCos and Transcos\Projected\2022 Projection\Transco\Filed Documents 11-1-2021\"/>
    </mc:Choice>
  </mc:AlternateContent>
  <bookViews>
    <workbookView xWindow="390" yWindow="0" windowWidth="18810" windowHeight="4380" tabRatio="834"/>
  </bookViews>
  <sheets>
    <sheet name="OKT.Sch.11.Rates" sheetId="17" r:id="rId1"/>
    <sheet name="OKT.WS.F.BPU.ATRR.Projected" sheetId="1" r:id="rId2"/>
    <sheet name="OKT.WS.G.BPU.ATRR.True-up" sheetId="2" r:id="rId3"/>
    <sheet name="OKT.001" sheetId="3" r:id="rId4"/>
    <sheet name="OKT.002" sheetId="4" r:id="rId5"/>
    <sheet name="OKT.003" sheetId="18" r:id="rId6"/>
    <sheet name="OKT.004" sheetId="19" r:id="rId7"/>
    <sheet name="OKT.005" sheetId="20" r:id="rId8"/>
    <sheet name="OKT.006" sheetId="21" r:id="rId9"/>
    <sheet name="OKT.007" sheetId="22" r:id="rId10"/>
    <sheet name="OKT.008" sheetId="23" r:id="rId11"/>
    <sheet name="OKT.009" sheetId="25" r:id="rId12"/>
    <sheet name="OKT.010" sheetId="24" r:id="rId13"/>
    <sheet name="OKT.011" sheetId="26" r:id="rId14"/>
    <sheet name="OKT.012" sheetId="27" r:id="rId15"/>
    <sheet name="OKT.013" sheetId="28" r:id="rId16"/>
    <sheet name="OKT.014" sheetId="29" r:id="rId17"/>
    <sheet name="OKT.015" sheetId="31" r:id="rId18"/>
    <sheet name="OKT.016" sheetId="34" r:id="rId19"/>
    <sheet name="OKT.017" sheetId="35" r:id="rId20"/>
    <sheet name="OKT.018" sheetId="38" r:id="rId21"/>
    <sheet name="OKT.019" sheetId="37" r:id="rId22"/>
    <sheet name="OKT.020" sheetId="39" r:id="rId23"/>
    <sheet name="OKT.021" sheetId="40" r:id="rId24"/>
    <sheet name="OKT.022" sheetId="41" r:id="rId25"/>
    <sheet name="OKT.023" sheetId="42" r:id="rId26"/>
    <sheet name="OKT.xyz - blank" sheetId="13" r:id="rId27"/>
  </sheets>
  <externalReferences>
    <externalReference r:id="rId28"/>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3">OKT.001!$A$1:$P$166</definedName>
    <definedName name="_xlnm.Print_Area" localSheetId="4">OKT.002!$A$1:$P$166</definedName>
    <definedName name="_xlnm.Print_Area" localSheetId="5">OKT.003!$A$1:$P$166</definedName>
    <definedName name="_xlnm.Print_Area" localSheetId="6">OKT.004!$A$1:$P$166</definedName>
    <definedName name="_xlnm.Print_Area" localSheetId="7">OKT.005!$A$1:$P$166</definedName>
    <definedName name="_xlnm.Print_Area" localSheetId="8">OKT.006!$A$1:$P$166</definedName>
    <definedName name="_xlnm.Print_Area" localSheetId="9">OKT.007!$A$1:$P$166</definedName>
    <definedName name="_xlnm.Print_Area" localSheetId="10">OKT.008!$A$1:$P$166</definedName>
    <definedName name="_xlnm.Print_Area" localSheetId="11">OKT.009!$A$1:$P$166</definedName>
    <definedName name="_xlnm.Print_Area" localSheetId="12">OKT.010!$A$1:$P$166</definedName>
    <definedName name="_xlnm.Print_Area" localSheetId="13">OKT.011!$A$1:$P$166</definedName>
    <definedName name="_xlnm.Print_Area" localSheetId="14">OKT.012!$A$1:$P$166</definedName>
    <definedName name="_xlnm.Print_Area" localSheetId="15">OKT.013!$A$1:$P$166</definedName>
    <definedName name="_xlnm.Print_Area" localSheetId="16">OKT.014!$A$1:$P$166</definedName>
    <definedName name="_xlnm.Print_Area" localSheetId="17">OKT.015!$A$1:$P$166</definedName>
    <definedName name="_xlnm.Print_Area" localSheetId="18">OKT.016!$A$1:$P$166</definedName>
    <definedName name="_xlnm.Print_Area" localSheetId="19">OKT.017!$A$1:$P$166</definedName>
    <definedName name="_xlnm.Print_Area" localSheetId="0">OKT.Sch.11.Rates!$A$1:$T$44</definedName>
    <definedName name="_xlnm.Print_Area" localSheetId="1">OKT.WS.F.BPU.ATRR.Projected!$A$1:$O$90</definedName>
    <definedName name="_xlnm.Print_Area" localSheetId="2">'OKT.WS.G.BPU.ATRR.True-up'!$A$1:$P$96</definedName>
    <definedName name="_xlnm.Print_Area" localSheetId="26">'OKT.xyz - blank'!$A$1:$P$166</definedName>
    <definedName name="_xlnm.Print_Titles" localSheetId="9">OKT.007!#REF!</definedName>
    <definedName name="_xlnm.Print_Titles" localSheetId="10">OKT.008!#REF!</definedName>
    <definedName name="_xlnm.Print_Titles" localSheetId="11">OKT.009!#REF!</definedName>
    <definedName name="_xlnm.Print_Titles" localSheetId="12">OKT.010!#REF!</definedName>
    <definedName name="_xlnm.Print_Titles" localSheetId="13">OKT.011!#REF!</definedName>
    <definedName name="_xlnm.Print_Titles" localSheetId="14">OKT.012!#REF!</definedName>
    <definedName name="_xlnm.Print_Titles" localSheetId="15">OKT.013!#REF!</definedName>
    <definedName name="_xlnm.Print_Titles" localSheetId="16">OKT.014!#REF!</definedName>
    <definedName name="_xlnm.Print_Titles" localSheetId="18">OKT.016!#REF!</definedName>
    <definedName name="_xlnm.Print_Titles" localSheetId="19">OKT.017!#REF!</definedName>
    <definedName name="_xlnm.Print_Titles" localSheetId="1">OKT.WS.F.BPU.ATRR.Projected!$1:$5</definedName>
    <definedName name="_xlnm.Print_Titles" localSheetId="2">'OKT.WS.G.BPU.ATRR.True-up'!$1:$5</definedName>
    <definedName name="_xlnm.Print_Titles" localSheetId="26">'OKT.xyz - blank'!#REF!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ip">#REF!</definedName>
  </definedNames>
  <calcPr calcId="162913"/>
</workbook>
</file>

<file path=xl/calcChain.xml><?xml version="1.0" encoding="utf-8"?>
<calcChain xmlns="http://schemas.openxmlformats.org/spreadsheetml/2006/main">
  <c r="M18" i="39" l="1"/>
  <c r="K18" i="39"/>
  <c r="L18" i="39" s="1"/>
  <c r="M20" i="37" l="1"/>
  <c r="K20" i="37"/>
  <c r="L20" i="37" s="1"/>
  <c r="D100" i="37"/>
  <c r="M21" i="35"/>
  <c r="K21" i="35"/>
  <c r="L21" i="35" s="1"/>
  <c r="M20" i="38"/>
  <c r="K20" i="38"/>
  <c r="L20" i="38" s="1"/>
  <c r="M21" i="34"/>
  <c r="K21" i="34"/>
  <c r="L21" i="34" s="1"/>
  <c r="D104" i="34"/>
  <c r="M21" i="31"/>
  <c r="K21" i="31"/>
  <c r="L21" i="31" s="1"/>
  <c r="M22" i="29"/>
  <c r="K22" i="29"/>
  <c r="L22" i="29" s="1"/>
  <c r="M25" i="27"/>
  <c r="K25" i="27"/>
  <c r="L25" i="27" s="1"/>
  <c r="M24" i="26"/>
  <c r="K24" i="26"/>
  <c r="L24" i="26" s="1"/>
  <c r="M25" i="24"/>
  <c r="K25" i="24"/>
  <c r="L25" i="24" s="1"/>
  <c r="M23" i="25"/>
  <c r="K23" i="25"/>
  <c r="L23" i="25" s="1"/>
  <c r="M24" i="23"/>
  <c r="K24" i="23"/>
  <c r="L24" i="23" s="1"/>
  <c r="M24" i="22"/>
  <c r="K24" i="22"/>
  <c r="L24" i="22" s="1"/>
  <c r="M25" i="21"/>
  <c r="K25" i="21"/>
  <c r="L25" i="21" s="1"/>
  <c r="M16" i="2" l="1"/>
  <c r="W40" i="17" l="1"/>
  <c r="W39" i="17"/>
  <c r="W38" i="17"/>
  <c r="L40" i="17"/>
  <c r="L39" i="17"/>
  <c r="L38" i="17"/>
  <c r="J155" i="42"/>
  <c r="J154" i="42"/>
  <c r="J153" i="42"/>
  <c r="J152" i="42"/>
  <c r="J151" i="42"/>
  <c r="J150" i="42"/>
  <c r="J149" i="42"/>
  <c r="J148" i="42"/>
  <c r="J147" i="42"/>
  <c r="J146" i="42"/>
  <c r="J145" i="42"/>
  <c r="J144" i="42"/>
  <c r="J143" i="42"/>
  <c r="J142" i="42"/>
  <c r="J141" i="42"/>
  <c r="J140" i="42"/>
  <c r="J139" i="42"/>
  <c r="J138" i="42"/>
  <c r="J137" i="42"/>
  <c r="J136" i="42"/>
  <c r="J135" i="42"/>
  <c r="J134" i="42"/>
  <c r="J133" i="42"/>
  <c r="J132" i="42"/>
  <c r="E100" i="42"/>
  <c r="F100" i="42" s="1"/>
  <c r="D101" i="42" s="1"/>
  <c r="D100" i="42"/>
  <c r="B100" i="42" s="1"/>
  <c r="J155" i="41"/>
  <c r="J154" i="41"/>
  <c r="J153" i="41"/>
  <c r="J152" i="41"/>
  <c r="J151" i="41"/>
  <c r="J150" i="41"/>
  <c r="J149" i="41"/>
  <c r="J148" i="41"/>
  <c r="J147" i="41"/>
  <c r="J146" i="41"/>
  <c r="J145" i="41"/>
  <c r="J144" i="41"/>
  <c r="J143" i="41"/>
  <c r="J142" i="41"/>
  <c r="J141" i="41"/>
  <c r="J140" i="41"/>
  <c r="J139" i="41"/>
  <c r="J138" i="41"/>
  <c r="J137" i="41"/>
  <c r="J136" i="41"/>
  <c r="J135" i="41"/>
  <c r="J134" i="41"/>
  <c r="J133" i="41"/>
  <c r="J132" i="41"/>
  <c r="E100" i="41"/>
  <c r="E100" i="40"/>
  <c r="F100" i="40" s="1"/>
  <c r="D101" i="40" s="1"/>
  <c r="D100" i="40"/>
  <c r="B100" i="40" s="1"/>
  <c r="L17" i="42"/>
  <c r="L17" i="41"/>
  <c r="L17" i="40"/>
  <c r="P155" i="42"/>
  <c r="O155" i="42"/>
  <c r="M155" i="42"/>
  <c r="P154" i="42"/>
  <c r="O154" i="42"/>
  <c r="M154" i="42"/>
  <c r="P153" i="42"/>
  <c r="O153" i="42"/>
  <c r="M153" i="42"/>
  <c r="P152" i="42"/>
  <c r="O152" i="42"/>
  <c r="M152" i="42"/>
  <c r="P151" i="42"/>
  <c r="O151" i="42"/>
  <c r="M151" i="42"/>
  <c r="P150" i="42"/>
  <c r="O150" i="42"/>
  <c r="M150" i="42"/>
  <c r="P149" i="42"/>
  <c r="O149" i="42"/>
  <c r="M149" i="42"/>
  <c r="P148" i="42"/>
  <c r="O148" i="42"/>
  <c r="M148" i="42"/>
  <c r="P147" i="42"/>
  <c r="O147" i="42"/>
  <c r="M147" i="42"/>
  <c r="P146" i="42"/>
  <c r="O146" i="42"/>
  <c r="M146" i="42"/>
  <c r="P145" i="42"/>
  <c r="O145" i="42"/>
  <c r="M145" i="42"/>
  <c r="P144" i="42"/>
  <c r="O144" i="42"/>
  <c r="M144" i="42"/>
  <c r="P143" i="42"/>
  <c r="O143" i="42"/>
  <c r="M143" i="42"/>
  <c r="P142" i="42"/>
  <c r="O142" i="42"/>
  <c r="M142" i="42"/>
  <c r="P141" i="42"/>
  <c r="O141" i="42"/>
  <c r="M141" i="42"/>
  <c r="P140" i="42"/>
  <c r="O140" i="42"/>
  <c r="M140" i="42"/>
  <c r="P139" i="42"/>
  <c r="O139" i="42"/>
  <c r="M139" i="42"/>
  <c r="P138" i="42"/>
  <c r="O138" i="42"/>
  <c r="M138" i="42"/>
  <c r="P137" i="42"/>
  <c r="O137" i="42"/>
  <c r="M137" i="42"/>
  <c r="P136" i="42"/>
  <c r="O136" i="42"/>
  <c r="M136" i="42"/>
  <c r="P135" i="42"/>
  <c r="O135" i="42"/>
  <c r="M135" i="42"/>
  <c r="P134" i="42"/>
  <c r="O134" i="42"/>
  <c r="M134" i="42"/>
  <c r="P133" i="42"/>
  <c r="O133" i="42"/>
  <c r="M133" i="42"/>
  <c r="P132" i="42"/>
  <c r="O132" i="42"/>
  <c r="M132" i="42"/>
  <c r="O131" i="42"/>
  <c r="M131" i="42"/>
  <c r="O130" i="42"/>
  <c r="M130" i="42"/>
  <c r="O129" i="42"/>
  <c r="M129" i="42"/>
  <c r="O128" i="42"/>
  <c r="M128" i="42"/>
  <c r="O127" i="42"/>
  <c r="M127" i="42"/>
  <c r="O126" i="42"/>
  <c r="M126" i="42"/>
  <c r="O125" i="42"/>
  <c r="M125" i="42"/>
  <c r="O124" i="42"/>
  <c r="M124" i="42"/>
  <c r="O123" i="42"/>
  <c r="M123" i="42"/>
  <c r="O122" i="42"/>
  <c r="M122" i="42"/>
  <c r="O121" i="42"/>
  <c r="M121" i="42"/>
  <c r="O120" i="42"/>
  <c r="M120" i="42"/>
  <c r="O119" i="42"/>
  <c r="M119" i="42"/>
  <c r="O118" i="42"/>
  <c r="M118" i="42"/>
  <c r="O117" i="42"/>
  <c r="M117" i="42"/>
  <c r="O116" i="42"/>
  <c r="M116" i="42"/>
  <c r="O115" i="42"/>
  <c r="M115" i="42"/>
  <c r="O114" i="42"/>
  <c r="M114" i="42"/>
  <c r="O113" i="42"/>
  <c r="M113" i="42"/>
  <c r="O112" i="42"/>
  <c r="M112" i="42"/>
  <c r="O111" i="42"/>
  <c r="M111" i="42"/>
  <c r="O110" i="42"/>
  <c r="M110" i="42"/>
  <c r="O109" i="42"/>
  <c r="M109" i="42"/>
  <c r="O108" i="42"/>
  <c r="M108" i="42"/>
  <c r="O107" i="42"/>
  <c r="M107" i="42"/>
  <c r="O106" i="42"/>
  <c r="M106" i="42"/>
  <c r="O105" i="42"/>
  <c r="M105" i="42"/>
  <c r="O104" i="42"/>
  <c r="M104" i="42"/>
  <c r="O103" i="42"/>
  <c r="M103" i="42"/>
  <c r="O102" i="42"/>
  <c r="M102" i="42"/>
  <c r="O101" i="42"/>
  <c r="M101" i="42"/>
  <c r="J97" i="42"/>
  <c r="D97" i="42"/>
  <c r="D95" i="42"/>
  <c r="L94" i="42"/>
  <c r="J94" i="42"/>
  <c r="D94" i="42"/>
  <c r="J93" i="42"/>
  <c r="M88" i="42" s="1"/>
  <c r="D92" i="42"/>
  <c r="D91" i="42"/>
  <c r="D90" i="42"/>
  <c r="N89" i="42"/>
  <c r="N73" i="42"/>
  <c r="L73" i="42"/>
  <c r="N72" i="42"/>
  <c r="L72" i="42"/>
  <c r="N71" i="42"/>
  <c r="L71" i="42"/>
  <c r="N70" i="42"/>
  <c r="L70" i="42"/>
  <c r="N69" i="42"/>
  <c r="L69" i="42"/>
  <c r="N68" i="42"/>
  <c r="L68" i="42"/>
  <c r="N67" i="42"/>
  <c r="L67" i="42"/>
  <c r="N66" i="42"/>
  <c r="L66" i="42"/>
  <c r="N65" i="42"/>
  <c r="L65" i="42"/>
  <c r="N64" i="42"/>
  <c r="L64" i="42"/>
  <c r="N63" i="42"/>
  <c r="L63" i="42"/>
  <c r="N62" i="42"/>
  <c r="L62" i="42"/>
  <c r="N61" i="42"/>
  <c r="L61" i="42"/>
  <c r="N60" i="42"/>
  <c r="L60" i="42"/>
  <c r="N59" i="42"/>
  <c r="L59" i="42"/>
  <c r="N58" i="42"/>
  <c r="L58" i="42"/>
  <c r="N57" i="42"/>
  <c r="L57" i="42"/>
  <c r="N56" i="42"/>
  <c r="L56" i="42"/>
  <c r="N55" i="42"/>
  <c r="L55" i="42"/>
  <c r="N54" i="42"/>
  <c r="L54" i="42"/>
  <c r="N53" i="42"/>
  <c r="L53" i="42"/>
  <c r="N52" i="42"/>
  <c r="L52" i="42"/>
  <c r="N51" i="42"/>
  <c r="L51" i="42"/>
  <c r="N50" i="42"/>
  <c r="L50" i="42"/>
  <c r="N49" i="42"/>
  <c r="L49" i="42"/>
  <c r="N48" i="42"/>
  <c r="L48" i="42"/>
  <c r="N47" i="42"/>
  <c r="L47" i="42"/>
  <c r="N46" i="42"/>
  <c r="L46" i="42"/>
  <c r="N45" i="42"/>
  <c r="L45" i="42"/>
  <c r="N44" i="42"/>
  <c r="L44" i="42"/>
  <c r="N43" i="42"/>
  <c r="L43" i="42"/>
  <c r="N42" i="42"/>
  <c r="L42" i="42"/>
  <c r="N41" i="42"/>
  <c r="L41" i="42"/>
  <c r="N40" i="42"/>
  <c r="L40" i="42"/>
  <c r="N39" i="42"/>
  <c r="L39" i="42"/>
  <c r="N38" i="42"/>
  <c r="L38" i="42"/>
  <c r="N37" i="42"/>
  <c r="L37" i="42"/>
  <c r="N36" i="42"/>
  <c r="L36" i="42"/>
  <c r="N35" i="42"/>
  <c r="L35" i="42"/>
  <c r="N34" i="42"/>
  <c r="L34" i="42"/>
  <c r="N33" i="42"/>
  <c r="L33" i="42"/>
  <c r="N32" i="42"/>
  <c r="L32" i="42"/>
  <c r="N31" i="42"/>
  <c r="L31" i="42"/>
  <c r="N30" i="42"/>
  <c r="L30" i="42"/>
  <c r="N29" i="42"/>
  <c r="L29" i="42"/>
  <c r="N28" i="42"/>
  <c r="L28" i="42"/>
  <c r="N27" i="42"/>
  <c r="L27" i="42"/>
  <c r="N26" i="42"/>
  <c r="L26" i="42"/>
  <c r="N25" i="42"/>
  <c r="L25" i="42"/>
  <c r="N24" i="42"/>
  <c r="L24" i="42"/>
  <c r="N23" i="42"/>
  <c r="L23" i="42"/>
  <c r="N22" i="42"/>
  <c r="L22" i="42"/>
  <c r="N21" i="42"/>
  <c r="L21" i="42"/>
  <c r="N20" i="42"/>
  <c r="L20" i="42"/>
  <c r="N19" i="42"/>
  <c r="L19" i="42"/>
  <c r="N18" i="42"/>
  <c r="L18" i="42"/>
  <c r="C17" i="42"/>
  <c r="C18" i="42" s="1"/>
  <c r="C19" i="42" s="1"/>
  <c r="C20" i="42" s="1"/>
  <c r="C21" i="42" s="1"/>
  <c r="C22" i="42" s="1"/>
  <c r="C23" i="42" s="1"/>
  <c r="C24" i="42" s="1"/>
  <c r="C25" i="42" s="1"/>
  <c r="C26" i="42" s="1"/>
  <c r="C27" i="42" s="1"/>
  <c r="C28" i="42" s="1"/>
  <c r="C29" i="42" s="1"/>
  <c r="C30" i="42" s="1"/>
  <c r="C31" i="42" s="1"/>
  <c r="C32" i="42" s="1"/>
  <c r="C33" i="42" s="1"/>
  <c r="C34" i="42" s="1"/>
  <c r="C35" i="42" s="1"/>
  <c r="C36" i="42" s="1"/>
  <c r="C37" i="42" s="1"/>
  <c r="C38" i="42" s="1"/>
  <c r="C39" i="42" s="1"/>
  <c r="C40" i="42" s="1"/>
  <c r="C41" i="42" s="1"/>
  <c r="C42" i="42" s="1"/>
  <c r="C43" i="42" s="1"/>
  <c r="C44" i="42" s="1"/>
  <c r="C45" i="42" s="1"/>
  <c r="C46" i="42" s="1"/>
  <c r="C47" i="42" s="1"/>
  <c r="C48" i="42" s="1"/>
  <c r="C49" i="42" s="1"/>
  <c r="C50" i="42" s="1"/>
  <c r="C51" i="42" s="1"/>
  <c r="C52" i="42" s="1"/>
  <c r="C53" i="42" s="1"/>
  <c r="C54" i="42" s="1"/>
  <c r="C55" i="42" s="1"/>
  <c r="C56" i="42" s="1"/>
  <c r="C57" i="42" s="1"/>
  <c r="C58" i="42" s="1"/>
  <c r="C59" i="42" s="1"/>
  <c r="C60" i="42" s="1"/>
  <c r="C61" i="42" s="1"/>
  <c r="C62" i="42" s="1"/>
  <c r="C63" i="42" s="1"/>
  <c r="C64" i="42" s="1"/>
  <c r="C65" i="42" s="1"/>
  <c r="C66" i="42" s="1"/>
  <c r="C67" i="42" s="1"/>
  <c r="C68" i="42" s="1"/>
  <c r="C69" i="42" s="1"/>
  <c r="C70" i="42" s="1"/>
  <c r="C71" i="42" s="1"/>
  <c r="C72" i="42" s="1"/>
  <c r="B17" i="42"/>
  <c r="K11" i="42"/>
  <c r="I11" i="42"/>
  <c r="I10" i="42"/>
  <c r="P1" i="42"/>
  <c r="P84" i="42" s="1"/>
  <c r="P155" i="41"/>
  <c r="O155" i="41"/>
  <c r="M155" i="41"/>
  <c r="P154" i="41"/>
  <c r="O154" i="41"/>
  <c r="M154" i="41"/>
  <c r="P153" i="41"/>
  <c r="O153" i="41"/>
  <c r="M153" i="41"/>
  <c r="P152" i="41"/>
  <c r="O152" i="41"/>
  <c r="M152" i="41"/>
  <c r="P151" i="41"/>
  <c r="O151" i="41"/>
  <c r="M151" i="41"/>
  <c r="P150" i="41"/>
  <c r="O150" i="41"/>
  <c r="M150" i="41"/>
  <c r="P149" i="41"/>
  <c r="O149" i="41"/>
  <c r="M149" i="41"/>
  <c r="P148" i="41"/>
  <c r="O148" i="41"/>
  <c r="M148" i="41"/>
  <c r="P147" i="41"/>
  <c r="O147" i="41"/>
  <c r="M147" i="41"/>
  <c r="P146" i="41"/>
  <c r="O146" i="41"/>
  <c r="M146" i="41"/>
  <c r="P145" i="41"/>
  <c r="O145" i="41"/>
  <c r="M145" i="41"/>
  <c r="P144" i="41"/>
  <c r="O144" i="41"/>
  <c r="M144" i="41"/>
  <c r="P143" i="41"/>
  <c r="O143" i="41"/>
  <c r="M143" i="41"/>
  <c r="P142" i="41"/>
  <c r="O142" i="41"/>
  <c r="M142" i="41"/>
  <c r="P141" i="41"/>
  <c r="O141" i="41"/>
  <c r="M141" i="41"/>
  <c r="P140" i="41"/>
  <c r="O140" i="41"/>
  <c r="M140" i="41"/>
  <c r="P139" i="41"/>
  <c r="O139" i="41"/>
  <c r="M139" i="41"/>
  <c r="P138" i="41"/>
  <c r="O138" i="41"/>
  <c r="M138" i="41"/>
  <c r="P137" i="41"/>
  <c r="O137" i="41"/>
  <c r="M137" i="41"/>
  <c r="P136" i="41"/>
  <c r="O136" i="41"/>
  <c r="M136" i="41"/>
  <c r="P135" i="41"/>
  <c r="O135" i="41"/>
  <c r="M135" i="41"/>
  <c r="P134" i="41"/>
  <c r="O134" i="41"/>
  <c r="M134" i="41"/>
  <c r="P133" i="41"/>
  <c r="O133" i="41"/>
  <c r="M133" i="41"/>
  <c r="P132" i="41"/>
  <c r="O132" i="41"/>
  <c r="M132" i="41"/>
  <c r="O131" i="41"/>
  <c r="M131" i="41"/>
  <c r="O130" i="41"/>
  <c r="M130" i="41"/>
  <c r="O129" i="41"/>
  <c r="M129" i="41"/>
  <c r="O128" i="41"/>
  <c r="M128" i="41"/>
  <c r="O127" i="41"/>
  <c r="M127" i="41"/>
  <c r="O126" i="41"/>
  <c r="M126" i="41"/>
  <c r="O125" i="41"/>
  <c r="M125" i="41"/>
  <c r="O124" i="41"/>
  <c r="M124" i="41"/>
  <c r="O123" i="41"/>
  <c r="M123" i="41"/>
  <c r="O122" i="41"/>
  <c r="M122" i="41"/>
  <c r="O121" i="41"/>
  <c r="M121" i="41"/>
  <c r="O120" i="41"/>
  <c r="M120" i="41"/>
  <c r="O119" i="41"/>
  <c r="M119" i="41"/>
  <c r="O118" i="41"/>
  <c r="M118" i="41"/>
  <c r="O117" i="41"/>
  <c r="M117" i="41"/>
  <c r="O116" i="41"/>
  <c r="M116" i="41"/>
  <c r="O115" i="41"/>
  <c r="M115" i="41"/>
  <c r="O114" i="41"/>
  <c r="M114" i="41"/>
  <c r="O113" i="41"/>
  <c r="M113" i="41"/>
  <c r="O112" i="41"/>
  <c r="M112" i="41"/>
  <c r="O111" i="41"/>
  <c r="M111" i="41"/>
  <c r="O110" i="41"/>
  <c r="M110" i="41"/>
  <c r="O109" i="41"/>
  <c r="M109" i="41"/>
  <c r="O108" i="41"/>
  <c r="M108" i="41"/>
  <c r="O107" i="41"/>
  <c r="M107" i="41"/>
  <c r="O106" i="41"/>
  <c r="M106" i="41"/>
  <c r="O105" i="41"/>
  <c r="M105" i="41"/>
  <c r="O104" i="41"/>
  <c r="M104" i="41"/>
  <c r="O103" i="41"/>
  <c r="M103" i="41"/>
  <c r="O102" i="41"/>
  <c r="M102" i="41"/>
  <c r="O101" i="41"/>
  <c r="M101" i="41"/>
  <c r="D97" i="41"/>
  <c r="D95" i="41"/>
  <c r="L94" i="41"/>
  <c r="J94" i="41"/>
  <c r="D94" i="41"/>
  <c r="J93" i="41"/>
  <c r="N88" i="41" s="1"/>
  <c r="D92" i="41"/>
  <c r="D91" i="41"/>
  <c r="D90" i="41"/>
  <c r="N89" i="41"/>
  <c r="N73" i="41"/>
  <c r="L73" i="41"/>
  <c r="N72" i="41"/>
  <c r="L72" i="41"/>
  <c r="N71" i="41"/>
  <c r="L71" i="41"/>
  <c r="N70" i="41"/>
  <c r="L70" i="41"/>
  <c r="N69" i="41"/>
  <c r="L69" i="41"/>
  <c r="N68" i="41"/>
  <c r="L68" i="41"/>
  <c r="N67" i="41"/>
  <c r="L67" i="41"/>
  <c r="N66" i="41"/>
  <c r="L66" i="41"/>
  <c r="N65" i="41"/>
  <c r="L65" i="41"/>
  <c r="N64" i="41"/>
  <c r="L64" i="41"/>
  <c r="N63" i="41"/>
  <c r="L63" i="41"/>
  <c r="N62" i="41"/>
  <c r="L62" i="41"/>
  <c r="N61" i="41"/>
  <c r="L61" i="41"/>
  <c r="N60" i="41"/>
  <c r="L60" i="41"/>
  <c r="N59" i="41"/>
  <c r="L59" i="41"/>
  <c r="N58" i="41"/>
  <c r="L58" i="41"/>
  <c r="N57" i="41"/>
  <c r="L57" i="41"/>
  <c r="N56" i="41"/>
  <c r="L56" i="41"/>
  <c r="N55" i="41"/>
  <c r="L55" i="41"/>
  <c r="N54" i="41"/>
  <c r="L54" i="41"/>
  <c r="N53" i="41"/>
  <c r="L53" i="41"/>
  <c r="N52" i="41"/>
  <c r="L52" i="41"/>
  <c r="N51" i="41"/>
  <c r="L51" i="41"/>
  <c r="N50" i="41"/>
  <c r="L50" i="41"/>
  <c r="N49" i="41"/>
  <c r="L49" i="41"/>
  <c r="N48" i="41"/>
  <c r="L48" i="41"/>
  <c r="N47" i="41"/>
  <c r="L47" i="41"/>
  <c r="N46" i="41"/>
  <c r="L46" i="41"/>
  <c r="N45" i="41"/>
  <c r="L45" i="41"/>
  <c r="N44" i="41"/>
  <c r="L44" i="41"/>
  <c r="N43" i="41"/>
  <c r="L43" i="41"/>
  <c r="N42" i="41"/>
  <c r="L42" i="41"/>
  <c r="N41" i="41"/>
  <c r="L41" i="41"/>
  <c r="N40" i="41"/>
  <c r="L40" i="41"/>
  <c r="N39" i="41"/>
  <c r="L39" i="41"/>
  <c r="N38" i="41"/>
  <c r="L38" i="41"/>
  <c r="N37" i="41"/>
  <c r="L37" i="41"/>
  <c r="N36" i="41"/>
  <c r="L36" i="41"/>
  <c r="N35" i="41"/>
  <c r="L35" i="41"/>
  <c r="N34" i="41"/>
  <c r="L34" i="41"/>
  <c r="N33" i="41"/>
  <c r="L33" i="41"/>
  <c r="N32" i="41"/>
  <c r="L32" i="41"/>
  <c r="N31" i="41"/>
  <c r="L31" i="41"/>
  <c r="N30" i="41"/>
  <c r="L30" i="41"/>
  <c r="N29" i="41"/>
  <c r="L29" i="41"/>
  <c r="N28" i="41"/>
  <c r="L28" i="41"/>
  <c r="N27" i="41"/>
  <c r="L27" i="41"/>
  <c r="N26" i="41"/>
  <c r="L26" i="41"/>
  <c r="N25" i="41"/>
  <c r="L25" i="41"/>
  <c r="N24" i="41"/>
  <c r="L24" i="41"/>
  <c r="N23" i="41"/>
  <c r="L23" i="41"/>
  <c r="N22" i="41"/>
  <c r="L22" i="41"/>
  <c r="N21" i="41"/>
  <c r="L21" i="41"/>
  <c r="N20" i="41"/>
  <c r="L20" i="41"/>
  <c r="N19" i="41"/>
  <c r="L19" i="41"/>
  <c r="N18" i="41"/>
  <c r="L18" i="41"/>
  <c r="C17" i="41"/>
  <c r="C18" i="41" s="1"/>
  <c r="C19" i="41" s="1"/>
  <c r="C20" i="41" s="1"/>
  <c r="C21" i="41" s="1"/>
  <c r="C22" i="41" s="1"/>
  <c r="C23" i="41" s="1"/>
  <c r="C24" i="41" s="1"/>
  <c r="C25" i="41" s="1"/>
  <c r="C26" i="41" s="1"/>
  <c r="C27" i="41" s="1"/>
  <c r="C28" i="41" s="1"/>
  <c r="C29" i="41" s="1"/>
  <c r="C30" i="41" s="1"/>
  <c r="C31" i="41" s="1"/>
  <c r="C32" i="41" s="1"/>
  <c r="C33" i="41" s="1"/>
  <c r="C34" i="41" s="1"/>
  <c r="C35" i="41" s="1"/>
  <c r="C36" i="41" s="1"/>
  <c r="C37" i="41" s="1"/>
  <c r="C38" i="41" s="1"/>
  <c r="C39" i="41" s="1"/>
  <c r="C40" i="41" s="1"/>
  <c r="C41" i="41" s="1"/>
  <c r="C42" i="41" s="1"/>
  <c r="C43" i="41" s="1"/>
  <c r="C44" i="41" s="1"/>
  <c r="C45" i="41" s="1"/>
  <c r="B17" i="41"/>
  <c r="K11" i="41"/>
  <c r="I11" i="41"/>
  <c r="I10" i="41"/>
  <c r="P1" i="41"/>
  <c r="P84" i="41" s="1"/>
  <c r="P155" i="40"/>
  <c r="O155" i="40"/>
  <c r="M155" i="40"/>
  <c r="J155" i="40"/>
  <c r="P154" i="40"/>
  <c r="O154" i="40"/>
  <c r="M154" i="40"/>
  <c r="J154" i="40"/>
  <c r="P153" i="40"/>
  <c r="O153" i="40"/>
  <c r="M153" i="40"/>
  <c r="J153" i="40"/>
  <c r="P152" i="40"/>
  <c r="O152" i="40"/>
  <c r="M152" i="40"/>
  <c r="J152" i="40"/>
  <c r="P151" i="40"/>
  <c r="O151" i="40"/>
  <c r="M151" i="40"/>
  <c r="J151" i="40"/>
  <c r="P150" i="40"/>
  <c r="O150" i="40"/>
  <c r="M150" i="40"/>
  <c r="J150" i="40"/>
  <c r="P149" i="40"/>
  <c r="O149" i="40"/>
  <c r="M149" i="40"/>
  <c r="J149" i="40"/>
  <c r="P148" i="40"/>
  <c r="O148" i="40"/>
  <c r="M148" i="40"/>
  <c r="J148" i="40"/>
  <c r="P147" i="40"/>
  <c r="O147" i="40"/>
  <c r="M147" i="40"/>
  <c r="J147" i="40"/>
  <c r="P146" i="40"/>
  <c r="O146" i="40"/>
  <c r="M146" i="40"/>
  <c r="J146" i="40"/>
  <c r="P145" i="40"/>
  <c r="O145" i="40"/>
  <c r="M145" i="40"/>
  <c r="J145" i="40"/>
  <c r="P144" i="40"/>
  <c r="O144" i="40"/>
  <c r="M144" i="40"/>
  <c r="J144" i="40"/>
  <c r="P143" i="40"/>
  <c r="O143" i="40"/>
  <c r="M143" i="40"/>
  <c r="J143" i="40"/>
  <c r="P142" i="40"/>
  <c r="O142" i="40"/>
  <c r="M142" i="40"/>
  <c r="J142" i="40"/>
  <c r="P141" i="40"/>
  <c r="O141" i="40"/>
  <c r="M141" i="40"/>
  <c r="J141" i="40"/>
  <c r="P140" i="40"/>
  <c r="O140" i="40"/>
  <c r="M140" i="40"/>
  <c r="J140" i="40"/>
  <c r="P139" i="40"/>
  <c r="O139" i="40"/>
  <c r="M139" i="40"/>
  <c r="J139" i="40"/>
  <c r="P138" i="40"/>
  <c r="O138" i="40"/>
  <c r="M138" i="40"/>
  <c r="J138" i="40"/>
  <c r="P137" i="40"/>
  <c r="O137" i="40"/>
  <c r="M137" i="40"/>
  <c r="J137" i="40"/>
  <c r="P136" i="40"/>
  <c r="O136" i="40"/>
  <c r="M136" i="40"/>
  <c r="J136" i="40"/>
  <c r="P135" i="40"/>
  <c r="O135" i="40"/>
  <c r="M135" i="40"/>
  <c r="J135" i="40"/>
  <c r="P134" i="40"/>
  <c r="O134" i="40"/>
  <c r="M134" i="40"/>
  <c r="J134" i="40"/>
  <c r="P133" i="40"/>
  <c r="O133" i="40"/>
  <c r="M133" i="40"/>
  <c r="J133" i="40"/>
  <c r="P132" i="40"/>
  <c r="O132" i="40"/>
  <c r="M132" i="40"/>
  <c r="J132" i="40"/>
  <c r="O131" i="40"/>
  <c r="M131" i="40"/>
  <c r="O130" i="40"/>
  <c r="M130" i="40"/>
  <c r="O129" i="40"/>
  <c r="M129" i="40"/>
  <c r="O128" i="40"/>
  <c r="M128" i="40"/>
  <c r="O127" i="40"/>
  <c r="M127" i="40"/>
  <c r="O126" i="40"/>
  <c r="M126" i="40"/>
  <c r="O125" i="40"/>
  <c r="M125" i="40"/>
  <c r="O124" i="40"/>
  <c r="M124" i="40"/>
  <c r="O123" i="40"/>
  <c r="M123" i="40"/>
  <c r="O122" i="40"/>
  <c r="M122" i="40"/>
  <c r="O121" i="40"/>
  <c r="M121" i="40"/>
  <c r="O120" i="40"/>
  <c r="M120" i="40"/>
  <c r="O119" i="40"/>
  <c r="M119" i="40"/>
  <c r="O118" i="40"/>
  <c r="M118" i="40"/>
  <c r="O117" i="40"/>
  <c r="M117" i="40"/>
  <c r="O116" i="40"/>
  <c r="M116" i="40"/>
  <c r="O115" i="40"/>
  <c r="M115" i="40"/>
  <c r="O114" i="40"/>
  <c r="M114" i="40"/>
  <c r="O113" i="40"/>
  <c r="M113" i="40"/>
  <c r="O112" i="40"/>
  <c r="M112" i="40"/>
  <c r="O111" i="40"/>
  <c r="M111" i="40"/>
  <c r="O110" i="40"/>
  <c r="M110" i="40"/>
  <c r="O109" i="40"/>
  <c r="M109" i="40"/>
  <c r="O108" i="40"/>
  <c r="M108" i="40"/>
  <c r="O107" i="40"/>
  <c r="M107" i="40"/>
  <c r="O106" i="40"/>
  <c r="M106" i="40"/>
  <c r="O105" i="40"/>
  <c r="M105" i="40"/>
  <c r="O104" i="40"/>
  <c r="M104" i="40"/>
  <c r="O103" i="40"/>
  <c r="M103" i="40"/>
  <c r="O102" i="40"/>
  <c r="M102" i="40"/>
  <c r="O101" i="40"/>
  <c r="M101" i="40"/>
  <c r="D97" i="40"/>
  <c r="D95" i="40"/>
  <c r="L94" i="40"/>
  <c r="J94" i="40"/>
  <c r="D94" i="40"/>
  <c r="J93" i="40"/>
  <c r="M88" i="40" s="1"/>
  <c r="D92" i="40"/>
  <c r="D91" i="40"/>
  <c r="D90" i="40"/>
  <c r="N89" i="40"/>
  <c r="M89" i="40"/>
  <c r="N73" i="40"/>
  <c r="L73" i="40"/>
  <c r="N72" i="40"/>
  <c r="L72" i="40"/>
  <c r="N71" i="40"/>
  <c r="L71" i="40"/>
  <c r="N70" i="40"/>
  <c r="L70" i="40"/>
  <c r="N69" i="40"/>
  <c r="L69" i="40"/>
  <c r="N68" i="40"/>
  <c r="L68" i="40"/>
  <c r="N67" i="40"/>
  <c r="L67" i="40"/>
  <c r="N66" i="40"/>
  <c r="L66" i="40"/>
  <c r="N65" i="40"/>
  <c r="L65" i="40"/>
  <c r="N64" i="40"/>
  <c r="L64" i="40"/>
  <c r="N63" i="40"/>
  <c r="L63" i="40"/>
  <c r="N62" i="40"/>
  <c r="L62" i="40"/>
  <c r="N61" i="40"/>
  <c r="L61" i="40"/>
  <c r="N60" i="40"/>
  <c r="L60" i="40"/>
  <c r="N59" i="40"/>
  <c r="L59" i="40"/>
  <c r="N58" i="40"/>
  <c r="L58" i="40"/>
  <c r="N57" i="40"/>
  <c r="L57" i="40"/>
  <c r="N56" i="40"/>
  <c r="L56" i="40"/>
  <c r="N55" i="40"/>
  <c r="L55" i="40"/>
  <c r="N54" i="40"/>
  <c r="L54" i="40"/>
  <c r="N53" i="40"/>
  <c r="L53" i="40"/>
  <c r="N52" i="40"/>
  <c r="L52" i="40"/>
  <c r="N51" i="40"/>
  <c r="L51" i="40"/>
  <c r="N50" i="40"/>
  <c r="L50" i="40"/>
  <c r="N49" i="40"/>
  <c r="L49" i="40"/>
  <c r="N48" i="40"/>
  <c r="L48" i="40"/>
  <c r="N47" i="40"/>
  <c r="L47" i="40"/>
  <c r="N46" i="40"/>
  <c r="L46" i="40"/>
  <c r="N45" i="40"/>
  <c r="L45" i="40"/>
  <c r="N44" i="40"/>
  <c r="L44" i="40"/>
  <c r="N43" i="40"/>
  <c r="L43" i="40"/>
  <c r="N42" i="40"/>
  <c r="L42" i="40"/>
  <c r="N41" i="40"/>
  <c r="L41" i="40"/>
  <c r="N40" i="40"/>
  <c r="L40" i="40"/>
  <c r="N39" i="40"/>
  <c r="L39" i="40"/>
  <c r="N38" i="40"/>
  <c r="L38" i="40"/>
  <c r="N37" i="40"/>
  <c r="L37" i="40"/>
  <c r="N36" i="40"/>
  <c r="L36" i="40"/>
  <c r="N35" i="40"/>
  <c r="L35" i="40"/>
  <c r="N34" i="40"/>
  <c r="L34" i="40"/>
  <c r="N33" i="40"/>
  <c r="L33" i="40"/>
  <c r="N32" i="40"/>
  <c r="L32" i="40"/>
  <c r="N31" i="40"/>
  <c r="L31" i="40"/>
  <c r="N30" i="40"/>
  <c r="L30" i="40"/>
  <c r="N29" i="40"/>
  <c r="L29" i="40"/>
  <c r="N28" i="40"/>
  <c r="L28" i="40"/>
  <c r="N27" i="40"/>
  <c r="L27" i="40"/>
  <c r="N26" i="40"/>
  <c r="L26" i="40"/>
  <c r="N25" i="40"/>
  <c r="L25" i="40"/>
  <c r="N24" i="40"/>
  <c r="L24" i="40"/>
  <c r="N23" i="40"/>
  <c r="L23" i="40"/>
  <c r="N22" i="40"/>
  <c r="L22" i="40"/>
  <c r="N21" i="40"/>
  <c r="L21" i="40"/>
  <c r="N20" i="40"/>
  <c r="L20" i="40"/>
  <c r="N19" i="40"/>
  <c r="L19" i="40"/>
  <c r="N18" i="40"/>
  <c r="L18" i="40"/>
  <c r="C18" i="40"/>
  <c r="C19" i="40" s="1"/>
  <c r="C20" i="40" s="1"/>
  <c r="C21" i="40" s="1"/>
  <c r="C22" i="40" s="1"/>
  <c r="C23" i="40" s="1"/>
  <c r="C24" i="40" s="1"/>
  <c r="C25" i="40" s="1"/>
  <c r="C26" i="40" s="1"/>
  <c r="C27" i="40" s="1"/>
  <c r="C28" i="40" s="1"/>
  <c r="C29" i="40" s="1"/>
  <c r="C30" i="40" s="1"/>
  <c r="C31" i="40" s="1"/>
  <c r="C32" i="40" s="1"/>
  <c r="C33" i="40" s="1"/>
  <c r="C34" i="40" s="1"/>
  <c r="C35" i="40" s="1"/>
  <c r="C36" i="40" s="1"/>
  <c r="C37" i="40" s="1"/>
  <c r="C38" i="40" s="1"/>
  <c r="C39" i="40" s="1"/>
  <c r="C40" i="40" s="1"/>
  <c r="C41" i="40" s="1"/>
  <c r="C42" i="40" s="1"/>
  <c r="C43" i="40" s="1"/>
  <c r="C44" i="40" s="1"/>
  <c r="C45" i="40" s="1"/>
  <c r="C46" i="40" s="1"/>
  <c r="C47" i="40" s="1"/>
  <c r="C48" i="40" s="1"/>
  <c r="C49" i="40" s="1"/>
  <c r="C50" i="40" s="1"/>
  <c r="C51" i="40" s="1"/>
  <c r="C52" i="40" s="1"/>
  <c r="C53" i="40" s="1"/>
  <c r="C54" i="40" s="1"/>
  <c r="C55" i="40" s="1"/>
  <c r="C56" i="40" s="1"/>
  <c r="C57" i="40" s="1"/>
  <c r="C58" i="40" s="1"/>
  <c r="C59" i="40" s="1"/>
  <c r="C60" i="40" s="1"/>
  <c r="C61" i="40" s="1"/>
  <c r="C62" i="40" s="1"/>
  <c r="C63" i="40" s="1"/>
  <c r="C64" i="40" s="1"/>
  <c r="C65" i="40" s="1"/>
  <c r="C66" i="40" s="1"/>
  <c r="C67" i="40" s="1"/>
  <c r="C68" i="40" s="1"/>
  <c r="C69" i="40" s="1"/>
  <c r="C70" i="40" s="1"/>
  <c r="C71" i="40" s="1"/>
  <c r="C72" i="40" s="1"/>
  <c r="C17" i="40"/>
  <c r="B17" i="40"/>
  <c r="K11" i="40"/>
  <c r="I11" i="40"/>
  <c r="I10" i="40"/>
  <c r="P1" i="40"/>
  <c r="P84" i="40" s="1"/>
  <c r="L87" i="40" l="1"/>
  <c r="N88" i="40"/>
  <c r="O88" i="40" s="1"/>
  <c r="L87" i="41"/>
  <c r="M88" i="41"/>
  <c r="O88" i="41" s="1"/>
  <c r="M89" i="41"/>
  <c r="O40" i="40"/>
  <c r="O44" i="40"/>
  <c r="O54" i="40"/>
  <c r="O66" i="40"/>
  <c r="O70" i="40"/>
  <c r="O32" i="40"/>
  <c r="O36" i="40"/>
  <c r="P102" i="40"/>
  <c r="P118" i="40"/>
  <c r="N88" i="42"/>
  <c r="O88" i="42" s="1"/>
  <c r="M89" i="42"/>
  <c r="O89" i="42" s="1"/>
  <c r="L87" i="42"/>
  <c r="P110" i="40"/>
  <c r="P111" i="40"/>
  <c r="P113" i="40"/>
  <c r="P117" i="40"/>
  <c r="O72" i="40"/>
  <c r="O31" i="42"/>
  <c r="O23" i="40"/>
  <c r="O28" i="40"/>
  <c r="O49" i="40"/>
  <c r="O65" i="40"/>
  <c r="O73" i="40"/>
  <c r="O62" i="40"/>
  <c r="P116" i="42"/>
  <c r="E101" i="42"/>
  <c r="F101" i="42" s="1"/>
  <c r="P111" i="42"/>
  <c r="G100" i="42"/>
  <c r="P101" i="42"/>
  <c r="P103" i="42"/>
  <c r="P118" i="42"/>
  <c r="P104" i="42"/>
  <c r="P106" i="42"/>
  <c r="P108" i="42"/>
  <c r="P119" i="42"/>
  <c r="P112" i="42"/>
  <c r="P110" i="42"/>
  <c r="P113" i="42"/>
  <c r="P115" i="42"/>
  <c r="P122" i="42"/>
  <c r="P124" i="42"/>
  <c r="P126" i="42"/>
  <c r="P128" i="42"/>
  <c r="P130" i="42"/>
  <c r="P102" i="42"/>
  <c r="P105" i="42"/>
  <c r="P107" i="42"/>
  <c r="P117" i="42"/>
  <c r="P109" i="42"/>
  <c r="P114" i="42"/>
  <c r="P121" i="42"/>
  <c r="P123" i="42"/>
  <c r="P125" i="42"/>
  <c r="P127" i="42"/>
  <c r="P129" i="42"/>
  <c r="P131" i="42"/>
  <c r="O52" i="42"/>
  <c r="O20" i="42"/>
  <c r="O36" i="42"/>
  <c r="O54" i="42"/>
  <c r="O56" i="42"/>
  <c r="O60" i="42"/>
  <c r="O64" i="42"/>
  <c r="O68" i="42"/>
  <c r="O47" i="42"/>
  <c r="O70" i="42"/>
  <c r="O72" i="42"/>
  <c r="O22" i="42"/>
  <c r="O24" i="42"/>
  <c r="O28" i="42"/>
  <c r="O32" i="42"/>
  <c r="O63" i="42"/>
  <c r="O38" i="42"/>
  <c r="O40" i="42"/>
  <c r="O44" i="42"/>
  <c r="O48" i="42"/>
  <c r="O42" i="41"/>
  <c r="O44" i="41"/>
  <c r="O50" i="41"/>
  <c r="O64" i="41"/>
  <c r="O31" i="41"/>
  <c r="O47" i="41"/>
  <c r="O61" i="41"/>
  <c r="P112" i="41"/>
  <c r="P114" i="41"/>
  <c r="P116" i="41"/>
  <c r="P118" i="41"/>
  <c r="O23" i="41"/>
  <c r="O39" i="41"/>
  <c r="O55" i="41"/>
  <c r="O65" i="41"/>
  <c r="O69" i="41"/>
  <c r="O25" i="41"/>
  <c r="O27" i="41"/>
  <c r="O33" i="41"/>
  <c r="O35" i="41"/>
  <c r="O20" i="41"/>
  <c r="O22" i="41"/>
  <c r="O41" i="41"/>
  <c r="O43" i="41"/>
  <c r="O49" i="41"/>
  <c r="O51" i="41"/>
  <c r="C100" i="41"/>
  <c r="D100" i="41" s="1"/>
  <c r="B100" i="41" s="1"/>
  <c r="F100" i="41"/>
  <c r="O19" i="41"/>
  <c r="O26" i="41"/>
  <c r="O34" i="41"/>
  <c r="O57" i="41"/>
  <c r="O59" i="41"/>
  <c r="O70" i="41"/>
  <c r="O72" i="41"/>
  <c r="C101" i="41"/>
  <c r="C102" i="41" s="1"/>
  <c r="C103" i="41" s="1"/>
  <c r="C104" i="41" s="1"/>
  <c r="C105" i="41" s="1"/>
  <c r="C106" i="41" s="1"/>
  <c r="C107" i="41" s="1"/>
  <c r="C108" i="41" s="1"/>
  <c r="C109" i="41" s="1"/>
  <c r="C110" i="41" s="1"/>
  <c r="C111" i="41" s="1"/>
  <c r="C112" i="41" s="1"/>
  <c r="C113" i="41" s="1"/>
  <c r="C114" i="41" s="1"/>
  <c r="C115" i="41" s="1"/>
  <c r="C116" i="41" s="1"/>
  <c r="C117" i="41" s="1"/>
  <c r="C118" i="41" s="1"/>
  <c r="C119" i="41" s="1"/>
  <c r="C120" i="41" s="1"/>
  <c r="C121" i="41" s="1"/>
  <c r="C122" i="41" s="1"/>
  <c r="C123" i="41" s="1"/>
  <c r="C124" i="41" s="1"/>
  <c r="C125" i="41" s="1"/>
  <c r="C126" i="41" s="1"/>
  <c r="C127" i="41" s="1"/>
  <c r="C128" i="41" s="1"/>
  <c r="C129" i="41" s="1"/>
  <c r="C130" i="41" s="1"/>
  <c r="C131" i="41" s="1"/>
  <c r="C132" i="41" s="1"/>
  <c r="C133" i="41" s="1"/>
  <c r="C134" i="41" s="1"/>
  <c r="C135" i="41" s="1"/>
  <c r="C136" i="41" s="1"/>
  <c r="C137" i="41" s="1"/>
  <c r="C138" i="41" s="1"/>
  <c r="C139" i="41" s="1"/>
  <c r="C140" i="41" s="1"/>
  <c r="C141" i="41" s="1"/>
  <c r="C142" i="41" s="1"/>
  <c r="C143" i="41" s="1"/>
  <c r="C144" i="41" s="1"/>
  <c r="C145" i="41" s="1"/>
  <c r="C146" i="41" s="1"/>
  <c r="C147" i="41" s="1"/>
  <c r="C148" i="41" s="1"/>
  <c r="C149" i="41" s="1"/>
  <c r="C150" i="41" s="1"/>
  <c r="C151" i="41" s="1"/>
  <c r="C152" i="41" s="1"/>
  <c r="C153" i="41" s="1"/>
  <c r="C154" i="41" s="1"/>
  <c r="C155" i="41" s="1"/>
  <c r="P107" i="41"/>
  <c r="P119" i="41"/>
  <c r="P125" i="41"/>
  <c r="P129" i="41"/>
  <c r="P103" i="41"/>
  <c r="P120" i="41"/>
  <c r="P111" i="41"/>
  <c r="P113" i="41"/>
  <c r="P115" i="41"/>
  <c r="P117" i="41"/>
  <c r="P104" i="40"/>
  <c r="P106" i="40"/>
  <c r="P108" i="40"/>
  <c r="O89" i="40"/>
  <c r="P112" i="40"/>
  <c r="P114" i="40"/>
  <c r="G100" i="40"/>
  <c r="P119" i="40"/>
  <c r="P101" i="40"/>
  <c r="P103" i="40"/>
  <c r="P105" i="40"/>
  <c r="P109" i="40"/>
  <c r="P116" i="40"/>
  <c r="P121" i="40"/>
  <c r="P123" i="40"/>
  <c r="P127" i="40"/>
  <c r="P131" i="40"/>
  <c r="P107" i="40"/>
  <c r="P115" i="40"/>
  <c r="O19" i="42"/>
  <c r="O33" i="42"/>
  <c r="O35" i="42"/>
  <c r="O49" i="42"/>
  <c r="O51" i="42"/>
  <c r="O65" i="42"/>
  <c r="O67" i="42"/>
  <c r="O23" i="42"/>
  <c r="O30" i="42"/>
  <c r="O39" i="42"/>
  <c r="O46" i="42"/>
  <c r="O55" i="42"/>
  <c r="O62" i="42"/>
  <c r="O71" i="42"/>
  <c r="O25" i="42"/>
  <c r="O27" i="42"/>
  <c r="O41" i="42"/>
  <c r="O43" i="42"/>
  <c r="O57" i="42"/>
  <c r="O59" i="42"/>
  <c r="O36" i="41"/>
  <c r="O38" i="41"/>
  <c r="O52" i="41"/>
  <c r="O54" i="41"/>
  <c r="O68" i="41"/>
  <c r="O18" i="41"/>
  <c r="O28" i="41"/>
  <c r="O30" i="41"/>
  <c r="O46" i="41"/>
  <c r="O60" i="41"/>
  <c r="O33" i="40"/>
  <c r="O18" i="40"/>
  <c r="O20" i="40"/>
  <c r="O24" i="40"/>
  <c r="O56" i="40"/>
  <c r="O60" i="40"/>
  <c r="O35" i="40"/>
  <c r="O50" i="40"/>
  <c r="O46" i="40"/>
  <c r="O25" i="40"/>
  <c r="O27" i="40"/>
  <c r="O30" i="40"/>
  <c r="O39" i="40"/>
  <c r="O51" i="40"/>
  <c r="O53" i="40"/>
  <c r="O69" i="40"/>
  <c r="O19" i="40"/>
  <c r="O22" i="40"/>
  <c r="O41" i="40"/>
  <c r="O55" i="40"/>
  <c r="O57" i="40"/>
  <c r="O71" i="40"/>
  <c r="M90" i="40"/>
  <c r="O31" i="40"/>
  <c r="O38" i="40"/>
  <c r="O45" i="40"/>
  <c r="O52" i="40"/>
  <c r="O58" i="40"/>
  <c r="O61" i="40"/>
  <c r="N90" i="40"/>
  <c r="B101" i="42"/>
  <c r="O18" i="42"/>
  <c r="O21" i="42"/>
  <c r="O26" i="42"/>
  <c r="O29" i="42"/>
  <c r="O34" i="42"/>
  <c r="O37" i="42"/>
  <c r="O42" i="42"/>
  <c r="O45" i="42"/>
  <c r="O50" i="42"/>
  <c r="O53" i="42"/>
  <c r="O58" i="42"/>
  <c r="O61" i="42"/>
  <c r="O66" i="42"/>
  <c r="O69" i="42"/>
  <c r="O73" i="42"/>
  <c r="C100" i="42"/>
  <c r="C101" i="42" s="1"/>
  <c r="C102" i="42" s="1"/>
  <c r="C103" i="42" s="1"/>
  <c r="C104" i="42" s="1"/>
  <c r="C105" i="42" s="1"/>
  <c r="C106" i="42" s="1"/>
  <c r="C107" i="42" s="1"/>
  <c r="C108" i="42" s="1"/>
  <c r="C109" i="42" s="1"/>
  <c r="C110" i="42" s="1"/>
  <c r="C111" i="42" s="1"/>
  <c r="C112" i="42" s="1"/>
  <c r="C113" i="42" s="1"/>
  <c r="C114" i="42" s="1"/>
  <c r="C115" i="42" s="1"/>
  <c r="C116" i="42" s="1"/>
  <c r="C117" i="42" s="1"/>
  <c r="C118" i="42" s="1"/>
  <c r="C119" i="42" s="1"/>
  <c r="C120" i="42" s="1"/>
  <c r="C121" i="42" s="1"/>
  <c r="C122" i="42" s="1"/>
  <c r="C123" i="42" s="1"/>
  <c r="C124" i="42" s="1"/>
  <c r="C125" i="42" s="1"/>
  <c r="C126" i="42" s="1"/>
  <c r="C127" i="42" s="1"/>
  <c r="C128" i="42" s="1"/>
  <c r="C129" i="42" s="1"/>
  <c r="C130" i="42" s="1"/>
  <c r="C131" i="42" s="1"/>
  <c r="C132" i="42" s="1"/>
  <c r="C133" i="42" s="1"/>
  <c r="C134" i="42" s="1"/>
  <c r="C135" i="42" s="1"/>
  <c r="C136" i="42" s="1"/>
  <c r="C137" i="42" s="1"/>
  <c r="C138" i="42" s="1"/>
  <c r="C139" i="42" s="1"/>
  <c r="C140" i="42" s="1"/>
  <c r="C141" i="42" s="1"/>
  <c r="C142" i="42" s="1"/>
  <c r="C143" i="42" s="1"/>
  <c r="C144" i="42" s="1"/>
  <c r="C145" i="42" s="1"/>
  <c r="C146" i="42" s="1"/>
  <c r="C147" i="42" s="1"/>
  <c r="C148" i="42" s="1"/>
  <c r="C149" i="42" s="1"/>
  <c r="C150" i="42" s="1"/>
  <c r="C151" i="42" s="1"/>
  <c r="C152" i="42" s="1"/>
  <c r="C153" i="42" s="1"/>
  <c r="C154" i="42" s="1"/>
  <c r="C155" i="42" s="1"/>
  <c r="P120" i="42"/>
  <c r="C46" i="41"/>
  <c r="C47" i="41" s="1"/>
  <c r="C48" i="41" s="1"/>
  <c r="C49" i="41" s="1"/>
  <c r="C50" i="41" s="1"/>
  <c r="C51" i="41" s="1"/>
  <c r="C52" i="41" s="1"/>
  <c r="C53" i="41" s="1"/>
  <c r="C54" i="41" s="1"/>
  <c r="C55" i="41" s="1"/>
  <c r="C56" i="41" s="1"/>
  <c r="C57" i="41" s="1"/>
  <c r="C58" i="41" s="1"/>
  <c r="C59" i="41" s="1"/>
  <c r="C60" i="41" s="1"/>
  <c r="C61" i="41" s="1"/>
  <c r="C62" i="41" s="1"/>
  <c r="C63" i="41" s="1"/>
  <c r="C64" i="41" s="1"/>
  <c r="C65" i="41" s="1"/>
  <c r="C66" i="41" s="1"/>
  <c r="C67" i="41" s="1"/>
  <c r="C68" i="41" s="1"/>
  <c r="C69" i="41" s="1"/>
  <c r="C70" i="41" s="1"/>
  <c r="C71" i="41" s="1"/>
  <c r="C72" i="41" s="1"/>
  <c r="O63" i="41"/>
  <c r="P102" i="41"/>
  <c r="P110" i="41"/>
  <c r="O21" i="41"/>
  <c r="O24" i="41"/>
  <c r="O29" i="41"/>
  <c r="O32" i="41"/>
  <c r="O37" i="41"/>
  <c r="O40" i="41"/>
  <c r="O45" i="41"/>
  <c r="O48" i="41"/>
  <c r="O53" i="41"/>
  <c r="O56" i="41"/>
  <c r="O66" i="41"/>
  <c r="O67" i="41"/>
  <c r="P124" i="41"/>
  <c r="P106" i="41"/>
  <c r="O62" i="41"/>
  <c r="O71" i="41"/>
  <c r="P101" i="41"/>
  <c r="P105" i="41"/>
  <c r="P109" i="41"/>
  <c r="O58" i="41"/>
  <c r="O73" i="41"/>
  <c r="P104" i="41"/>
  <c r="P108" i="41"/>
  <c r="P121" i="41"/>
  <c r="P128" i="41"/>
  <c r="N90" i="41"/>
  <c r="P122" i="41"/>
  <c r="P123" i="41"/>
  <c r="P127" i="41"/>
  <c r="P131" i="41"/>
  <c r="P126" i="41"/>
  <c r="P130" i="41"/>
  <c r="O64" i="40"/>
  <c r="O21" i="40"/>
  <c r="O26" i="40"/>
  <c r="O29" i="40"/>
  <c r="O34" i="40"/>
  <c r="O37" i="40"/>
  <c r="O42" i="40"/>
  <c r="O67" i="40"/>
  <c r="O68" i="40"/>
  <c r="P120" i="40"/>
  <c r="P125" i="40"/>
  <c r="O48" i="40"/>
  <c r="C100" i="40"/>
  <c r="C101" i="40" s="1"/>
  <c r="C102" i="40" s="1"/>
  <c r="C103" i="40" s="1"/>
  <c r="C104" i="40" s="1"/>
  <c r="C105" i="40" s="1"/>
  <c r="C106" i="40" s="1"/>
  <c r="C107" i="40" s="1"/>
  <c r="C108" i="40" s="1"/>
  <c r="C109" i="40" s="1"/>
  <c r="C110" i="40" s="1"/>
  <c r="C111" i="40" s="1"/>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C134" i="40" s="1"/>
  <c r="C135" i="40" s="1"/>
  <c r="C136" i="40" s="1"/>
  <c r="C137" i="40" s="1"/>
  <c r="C138" i="40" s="1"/>
  <c r="C139" i="40" s="1"/>
  <c r="C140" i="40" s="1"/>
  <c r="C141" i="40" s="1"/>
  <c r="C142" i="40" s="1"/>
  <c r="C143" i="40" s="1"/>
  <c r="C144" i="40" s="1"/>
  <c r="C145" i="40" s="1"/>
  <c r="C146" i="40" s="1"/>
  <c r="C147" i="40" s="1"/>
  <c r="C148" i="40" s="1"/>
  <c r="C149" i="40" s="1"/>
  <c r="C150" i="40" s="1"/>
  <c r="C151" i="40" s="1"/>
  <c r="C152" i="40" s="1"/>
  <c r="C153" i="40" s="1"/>
  <c r="C154" i="40" s="1"/>
  <c r="C155" i="40" s="1"/>
  <c r="O47" i="40"/>
  <c r="O63" i="40"/>
  <c r="P124" i="40"/>
  <c r="P129" i="40"/>
  <c r="O43" i="40"/>
  <c r="O59" i="40"/>
  <c r="P128" i="40"/>
  <c r="P122" i="40"/>
  <c r="P126" i="40"/>
  <c r="P130" i="40"/>
  <c r="M90" i="41" l="1"/>
  <c r="O89" i="41"/>
  <c r="N90" i="42"/>
  <c r="O90" i="41"/>
  <c r="M90" i="42"/>
  <c r="O90" i="42"/>
  <c r="D102" i="42"/>
  <c r="E102" i="42" s="1"/>
  <c r="G101" i="42"/>
  <c r="G100" i="41"/>
  <c r="D101" i="41"/>
  <c r="O90" i="40"/>
  <c r="B101" i="40"/>
  <c r="N17" i="42"/>
  <c r="O17" i="42" s="1"/>
  <c r="N17" i="41"/>
  <c r="O17" i="41" s="1"/>
  <c r="N17" i="40"/>
  <c r="O17" i="40" s="1"/>
  <c r="F102" i="42" l="1"/>
  <c r="B101" i="41"/>
  <c r="D103" i="42" l="1"/>
  <c r="G102" i="42"/>
  <c r="B102" i="42"/>
  <c r="E103" i="42" l="1"/>
  <c r="F103" i="42" s="1"/>
  <c r="D104" i="42" l="1"/>
  <c r="G103" i="42"/>
  <c r="B103" i="42"/>
  <c r="E104" i="42" l="1"/>
  <c r="F104" i="42" s="1"/>
  <c r="D105" i="42" l="1"/>
  <c r="G104" i="42"/>
  <c r="E105" i="42"/>
  <c r="B104" i="42"/>
  <c r="F105" i="42" l="1"/>
  <c r="G105" i="42" l="1"/>
  <c r="D106" i="42"/>
  <c r="B105" i="42"/>
  <c r="E106" i="42" l="1"/>
  <c r="F106" i="42" s="1"/>
  <c r="G106" i="42" l="1"/>
  <c r="D107" i="42"/>
  <c r="B106" i="42"/>
  <c r="E107" i="42" l="1"/>
  <c r="F107" i="42" s="1"/>
  <c r="G107" i="42" l="1"/>
  <c r="D108" i="42"/>
  <c r="B107" i="42"/>
  <c r="E108" i="42" l="1"/>
  <c r="F108" i="42" s="1"/>
  <c r="D109" i="42" l="1"/>
  <c r="G108" i="42"/>
  <c r="E109" i="42"/>
  <c r="B108" i="42"/>
  <c r="F109" i="42" l="1"/>
  <c r="G109" i="42" l="1"/>
  <c r="D110" i="42"/>
  <c r="B109" i="42"/>
  <c r="E110" i="42" l="1"/>
  <c r="F110" i="42" s="1"/>
  <c r="G110" i="42" l="1"/>
  <c r="D111" i="42"/>
  <c r="B110" i="42"/>
  <c r="E111" i="42" l="1"/>
  <c r="F111" i="42" s="1"/>
  <c r="D112" i="42" l="1"/>
  <c r="G111" i="42"/>
  <c r="E112" i="42"/>
  <c r="B111" i="42"/>
  <c r="F112" i="42" l="1"/>
  <c r="D113" i="42" l="1"/>
  <c r="G112" i="42"/>
  <c r="E113" i="42"/>
  <c r="B112" i="42"/>
  <c r="F113" i="42" l="1"/>
  <c r="G113" i="42" l="1"/>
  <c r="D114" i="42"/>
  <c r="B113" i="42"/>
  <c r="E114" i="42" l="1"/>
  <c r="F114" i="42" s="1"/>
  <c r="D115" i="42" l="1"/>
  <c r="G114" i="42"/>
  <c r="E115" i="42"/>
  <c r="B114" i="42"/>
  <c r="F115" i="42" l="1"/>
  <c r="D116" i="42" l="1"/>
  <c r="E116" i="42" s="1"/>
  <c r="G115" i="42"/>
  <c r="B115" i="42"/>
  <c r="F116" i="42" l="1"/>
  <c r="D117" i="42" l="1"/>
  <c r="G116" i="42"/>
  <c r="E117" i="42"/>
  <c r="B116" i="42"/>
  <c r="F117" i="42" l="1"/>
  <c r="D118" i="42" l="1"/>
  <c r="G117" i="42"/>
  <c r="B117" i="42"/>
  <c r="E118" i="42" l="1"/>
  <c r="F118" i="42" s="1"/>
  <c r="D119" i="42" l="1"/>
  <c r="E119" i="42" s="1"/>
  <c r="G118" i="42"/>
  <c r="B118" i="42"/>
  <c r="F119" i="42" l="1"/>
  <c r="G119" i="42" l="1"/>
  <c r="D120" i="42"/>
  <c r="B119" i="42"/>
  <c r="E120" i="42" l="1"/>
  <c r="F120" i="42" s="1"/>
  <c r="D121" i="42" l="1"/>
  <c r="G120" i="42"/>
  <c r="E121" i="42"/>
  <c r="B120" i="42"/>
  <c r="F121" i="42" l="1"/>
  <c r="D122" i="42" l="1"/>
  <c r="G121" i="42"/>
  <c r="B121" i="42"/>
  <c r="E122" i="42" l="1"/>
  <c r="F122" i="42" s="1"/>
  <c r="N100" i="39"/>
  <c r="L100" i="39"/>
  <c r="M100" i="39" s="1"/>
  <c r="D101" i="39"/>
  <c r="I17" i="39"/>
  <c r="N102" i="37"/>
  <c r="L102" i="37"/>
  <c r="M102" i="37" s="1"/>
  <c r="N101" i="37"/>
  <c r="L101" i="37"/>
  <c r="M101" i="37" s="1"/>
  <c r="N102" i="38"/>
  <c r="L102" i="38"/>
  <c r="M102" i="38" s="1"/>
  <c r="N101" i="38"/>
  <c r="L101" i="38"/>
  <c r="M101" i="38" s="1"/>
  <c r="N103" i="35"/>
  <c r="L103" i="35"/>
  <c r="M103" i="35" s="1"/>
  <c r="N102" i="35"/>
  <c r="L102" i="35"/>
  <c r="M102" i="35" s="1"/>
  <c r="N103" i="34"/>
  <c r="L103" i="34"/>
  <c r="M103" i="34" s="1"/>
  <c r="N102" i="34"/>
  <c r="L102" i="34"/>
  <c r="M102" i="34" s="1"/>
  <c r="N103" i="31"/>
  <c r="L103" i="31"/>
  <c r="M103" i="31" s="1"/>
  <c r="N102" i="31"/>
  <c r="L102" i="31"/>
  <c r="M102" i="31" s="1"/>
  <c r="N103" i="29"/>
  <c r="M103" i="29"/>
  <c r="L103" i="29"/>
  <c r="N102" i="29"/>
  <c r="L102" i="29"/>
  <c r="M102" i="29" s="1"/>
  <c r="N106" i="27"/>
  <c r="L106" i="27"/>
  <c r="M106" i="27" s="1"/>
  <c r="M24" i="27"/>
  <c r="K24" i="27"/>
  <c r="L24" i="27" s="1"/>
  <c r="N106" i="26"/>
  <c r="L106" i="26"/>
  <c r="M106" i="26" s="1"/>
  <c r="N105" i="26"/>
  <c r="L105" i="26"/>
  <c r="M105" i="26" s="1"/>
  <c r="N107" i="24"/>
  <c r="L107" i="24"/>
  <c r="M107" i="24" s="1"/>
  <c r="N106" i="24"/>
  <c r="L106" i="24"/>
  <c r="M106" i="24" s="1"/>
  <c r="N105" i="25"/>
  <c r="L105" i="25"/>
  <c r="M105" i="25" s="1"/>
  <c r="N104" i="25"/>
  <c r="L104" i="25"/>
  <c r="M104" i="25" s="1"/>
  <c r="N106" i="23"/>
  <c r="L106" i="23"/>
  <c r="M106" i="23" s="1"/>
  <c r="N105" i="23"/>
  <c r="L105" i="23"/>
  <c r="M105" i="23" s="1"/>
  <c r="N106" i="22"/>
  <c r="L106" i="22"/>
  <c r="M106" i="22" s="1"/>
  <c r="N105" i="22"/>
  <c r="L105" i="22"/>
  <c r="M105" i="22" s="1"/>
  <c r="N107" i="21"/>
  <c r="O107" i="21" s="1"/>
  <c r="L107" i="21"/>
  <c r="M107" i="21" s="1"/>
  <c r="N106" i="21"/>
  <c r="O106" i="21" s="1"/>
  <c r="L106" i="21"/>
  <c r="M106" i="21" s="1"/>
  <c r="N109" i="19"/>
  <c r="O109" i="19" s="1"/>
  <c r="L109" i="19"/>
  <c r="M109" i="19" s="1"/>
  <c r="N108" i="19"/>
  <c r="O108" i="19" s="1"/>
  <c r="L108" i="19"/>
  <c r="M108" i="19" s="1"/>
  <c r="N109" i="18"/>
  <c r="L109" i="18"/>
  <c r="M109" i="18" s="1"/>
  <c r="N108" i="18"/>
  <c r="L108" i="18"/>
  <c r="M108" i="18" s="1"/>
  <c r="N109" i="4"/>
  <c r="O109" i="4" s="1"/>
  <c r="L109" i="4"/>
  <c r="M109" i="4" s="1"/>
  <c r="N110" i="3"/>
  <c r="O110" i="3" s="1"/>
  <c r="L110" i="3"/>
  <c r="M110" i="3" s="1"/>
  <c r="N109" i="3"/>
  <c r="O109" i="3" s="1"/>
  <c r="L109" i="3"/>
  <c r="M109" i="3" s="1"/>
  <c r="G122" i="42" l="1"/>
  <c r="D123" i="42"/>
  <c r="B122" i="42"/>
  <c r="N110" i="4"/>
  <c r="O110" i="4" s="1"/>
  <c r="L110" i="4"/>
  <c r="M110" i="4" s="1"/>
  <c r="E123" i="42" l="1"/>
  <c r="F123" i="42" s="1"/>
  <c r="G123" i="42" l="1"/>
  <c r="D124" i="42"/>
  <c r="B123" i="42"/>
  <c r="T14" i="17"/>
  <c r="E124" i="42" l="1"/>
  <c r="F124" i="42" s="1"/>
  <c r="E35" i="1"/>
  <c r="E34" i="1"/>
  <c r="D125" i="42" l="1"/>
  <c r="E125" i="42" s="1"/>
  <c r="G124" i="42"/>
  <c r="B124" i="42"/>
  <c r="M19" i="38"/>
  <c r="K19" i="38"/>
  <c r="L19" i="38" s="1"/>
  <c r="F125" i="42" l="1"/>
  <c r="W37" i="17"/>
  <c r="L37" i="17"/>
  <c r="M17" i="39"/>
  <c r="K17" i="39"/>
  <c r="L17" i="39" s="1"/>
  <c r="P155" i="39"/>
  <c r="O155" i="39"/>
  <c r="M155" i="39"/>
  <c r="J155" i="39"/>
  <c r="P154" i="39"/>
  <c r="O154" i="39"/>
  <c r="M154" i="39"/>
  <c r="J154" i="39"/>
  <c r="P153" i="39"/>
  <c r="O153" i="39"/>
  <c r="M153" i="39"/>
  <c r="J153" i="39"/>
  <c r="P152" i="39"/>
  <c r="O152" i="39"/>
  <c r="M152" i="39"/>
  <c r="J152" i="39"/>
  <c r="P151" i="39"/>
  <c r="O151" i="39"/>
  <c r="M151" i="39"/>
  <c r="J151" i="39"/>
  <c r="P150" i="39"/>
  <c r="O150" i="39"/>
  <c r="M150" i="39"/>
  <c r="J150" i="39"/>
  <c r="P149" i="39"/>
  <c r="O149" i="39"/>
  <c r="M149" i="39"/>
  <c r="J149" i="39"/>
  <c r="P148" i="39"/>
  <c r="O148" i="39"/>
  <c r="M148" i="39"/>
  <c r="J148" i="39"/>
  <c r="P147" i="39"/>
  <c r="O147" i="39"/>
  <c r="M147" i="39"/>
  <c r="J147" i="39"/>
  <c r="P146" i="39"/>
  <c r="O146" i="39"/>
  <c r="M146" i="39"/>
  <c r="J146" i="39"/>
  <c r="P145" i="39"/>
  <c r="O145" i="39"/>
  <c r="M145" i="39"/>
  <c r="J145" i="39"/>
  <c r="P144" i="39"/>
  <c r="O144" i="39"/>
  <c r="M144" i="39"/>
  <c r="J144" i="39"/>
  <c r="P143" i="39"/>
  <c r="O143" i="39"/>
  <c r="M143" i="39"/>
  <c r="J143" i="39"/>
  <c r="P142" i="39"/>
  <c r="O142" i="39"/>
  <c r="M142" i="39"/>
  <c r="J142" i="39"/>
  <c r="P141" i="39"/>
  <c r="O141" i="39"/>
  <c r="M141" i="39"/>
  <c r="J141" i="39"/>
  <c r="P140" i="39"/>
  <c r="O140" i="39"/>
  <c r="M140" i="39"/>
  <c r="J140" i="39"/>
  <c r="P139" i="39"/>
  <c r="O139" i="39"/>
  <c r="M139" i="39"/>
  <c r="J139" i="39"/>
  <c r="P138" i="39"/>
  <c r="O138" i="39"/>
  <c r="M138" i="39"/>
  <c r="J138" i="39"/>
  <c r="P137" i="39"/>
  <c r="O137" i="39"/>
  <c r="M137" i="39"/>
  <c r="J137" i="39"/>
  <c r="P136" i="39"/>
  <c r="O136" i="39"/>
  <c r="M136" i="39"/>
  <c r="J136" i="39"/>
  <c r="P135" i="39"/>
  <c r="O135" i="39"/>
  <c r="M135" i="39"/>
  <c r="J135" i="39"/>
  <c r="P134" i="39"/>
  <c r="O134" i="39"/>
  <c r="M134" i="39"/>
  <c r="J134" i="39"/>
  <c r="P133" i="39"/>
  <c r="O133" i="39"/>
  <c r="M133" i="39"/>
  <c r="J133" i="39"/>
  <c r="P132" i="39"/>
  <c r="O132" i="39"/>
  <c r="M132" i="39"/>
  <c r="J132" i="39"/>
  <c r="O131" i="39"/>
  <c r="M131" i="39"/>
  <c r="O130" i="39"/>
  <c r="M130" i="39"/>
  <c r="O129" i="39"/>
  <c r="M129" i="39"/>
  <c r="O128" i="39"/>
  <c r="M128" i="39"/>
  <c r="O127" i="39"/>
  <c r="M127" i="39"/>
  <c r="O126" i="39"/>
  <c r="M126" i="39"/>
  <c r="O125" i="39"/>
  <c r="M125" i="39"/>
  <c r="O124" i="39"/>
  <c r="M124" i="39"/>
  <c r="O123" i="39"/>
  <c r="M123" i="39"/>
  <c r="O122" i="39"/>
  <c r="M122" i="39"/>
  <c r="O121" i="39"/>
  <c r="M121" i="39"/>
  <c r="O120" i="39"/>
  <c r="M120" i="39"/>
  <c r="O119" i="39"/>
  <c r="M119" i="39"/>
  <c r="O118" i="39"/>
  <c r="M118" i="39"/>
  <c r="O117" i="39"/>
  <c r="M117" i="39"/>
  <c r="O116" i="39"/>
  <c r="M116" i="39"/>
  <c r="O115" i="39"/>
  <c r="M115" i="39"/>
  <c r="O114" i="39"/>
  <c r="M114" i="39"/>
  <c r="O113" i="39"/>
  <c r="M113" i="39"/>
  <c r="O112" i="39"/>
  <c r="M112" i="39"/>
  <c r="O111" i="39"/>
  <c r="M111" i="39"/>
  <c r="O110" i="39"/>
  <c r="M110" i="39"/>
  <c r="O109" i="39"/>
  <c r="M109" i="39"/>
  <c r="O108" i="39"/>
  <c r="M108" i="39"/>
  <c r="O107" i="39"/>
  <c r="M107" i="39"/>
  <c r="O106" i="39"/>
  <c r="M106" i="39"/>
  <c r="O105" i="39"/>
  <c r="M105" i="39"/>
  <c r="O104" i="39"/>
  <c r="M104" i="39"/>
  <c r="O103" i="39"/>
  <c r="M103" i="39"/>
  <c r="O102" i="39"/>
  <c r="M102" i="39"/>
  <c r="O101" i="39"/>
  <c r="M101" i="39"/>
  <c r="O100" i="39"/>
  <c r="D97" i="39"/>
  <c r="D95" i="39"/>
  <c r="L94" i="39"/>
  <c r="J94" i="39"/>
  <c r="D94" i="39"/>
  <c r="J93" i="39"/>
  <c r="D92" i="39"/>
  <c r="D90" i="39"/>
  <c r="N73" i="39"/>
  <c r="L73" i="39"/>
  <c r="N72" i="39"/>
  <c r="L72" i="39"/>
  <c r="N71" i="39"/>
  <c r="L71" i="39"/>
  <c r="N70" i="39"/>
  <c r="L70" i="39"/>
  <c r="N69" i="39"/>
  <c r="L69" i="39"/>
  <c r="N68" i="39"/>
  <c r="L68" i="39"/>
  <c r="N67" i="39"/>
  <c r="L67" i="39"/>
  <c r="N66" i="39"/>
  <c r="L66" i="39"/>
  <c r="N65" i="39"/>
  <c r="L65" i="39"/>
  <c r="N64" i="39"/>
  <c r="L64" i="39"/>
  <c r="N63" i="39"/>
  <c r="L63" i="39"/>
  <c r="N62" i="39"/>
  <c r="L62" i="39"/>
  <c r="N61" i="39"/>
  <c r="L61" i="39"/>
  <c r="N60" i="39"/>
  <c r="L60" i="39"/>
  <c r="N59" i="39"/>
  <c r="L59" i="39"/>
  <c r="N58" i="39"/>
  <c r="L58" i="39"/>
  <c r="N57" i="39"/>
  <c r="L57" i="39"/>
  <c r="N56" i="39"/>
  <c r="L56" i="39"/>
  <c r="N55" i="39"/>
  <c r="L55" i="39"/>
  <c r="N54" i="39"/>
  <c r="L54" i="39"/>
  <c r="N53" i="39"/>
  <c r="L53" i="39"/>
  <c r="N52" i="39"/>
  <c r="L52" i="39"/>
  <c r="N51" i="39"/>
  <c r="L51" i="39"/>
  <c r="N50" i="39"/>
  <c r="L50" i="39"/>
  <c r="N49" i="39"/>
  <c r="L49" i="39"/>
  <c r="N48" i="39"/>
  <c r="L48" i="39"/>
  <c r="N47" i="39"/>
  <c r="L47" i="39"/>
  <c r="N46" i="39"/>
  <c r="L46" i="39"/>
  <c r="N45" i="39"/>
  <c r="L45" i="39"/>
  <c r="N44" i="39"/>
  <c r="L44" i="39"/>
  <c r="N43" i="39"/>
  <c r="L43" i="39"/>
  <c r="N42" i="39"/>
  <c r="L42" i="39"/>
  <c r="N41" i="39"/>
  <c r="L41" i="39"/>
  <c r="N40" i="39"/>
  <c r="L40" i="39"/>
  <c r="N39" i="39"/>
  <c r="L39" i="39"/>
  <c r="N38" i="39"/>
  <c r="L38" i="39"/>
  <c r="N37" i="39"/>
  <c r="L37" i="39"/>
  <c r="N36" i="39"/>
  <c r="L36" i="39"/>
  <c r="N35" i="39"/>
  <c r="L35" i="39"/>
  <c r="N34" i="39"/>
  <c r="L34" i="39"/>
  <c r="N33" i="39"/>
  <c r="L33" i="39"/>
  <c r="N32" i="39"/>
  <c r="L32" i="39"/>
  <c r="N31" i="39"/>
  <c r="L31" i="39"/>
  <c r="N30" i="39"/>
  <c r="L30" i="39"/>
  <c r="N29" i="39"/>
  <c r="L29" i="39"/>
  <c r="N28" i="39"/>
  <c r="L28" i="39"/>
  <c r="N27" i="39"/>
  <c r="L27" i="39"/>
  <c r="N26" i="39"/>
  <c r="L26" i="39"/>
  <c r="N25" i="39"/>
  <c r="L25" i="39"/>
  <c r="N24" i="39"/>
  <c r="L24" i="39"/>
  <c r="N23" i="39"/>
  <c r="L23" i="39"/>
  <c r="N22" i="39"/>
  <c r="L22" i="39"/>
  <c r="N21" i="39"/>
  <c r="L21" i="39"/>
  <c r="N20" i="39"/>
  <c r="L20" i="39"/>
  <c r="N19" i="39"/>
  <c r="L19" i="39"/>
  <c r="N18" i="39"/>
  <c r="N17" i="39"/>
  <c r="C17" i="39"/>
  <c r="B17" i="39"/>
  <c r="K11" i="39"/>
  <c r="I11" i="39"/>
  <c r="I10" i="39"/>
  <c r="D91" i="39"/>
  <c r="P1" i="39"/>
  <c r="P84" i="39" s="1"/>
  <c r="G125" i="42" l="1"/>
  <c r="D126" i="42"/>
  <c r="B125" i="42"/>
  <c r="P106" i="39"/>
  <c r="P108" i="39"/>
  <c r="P110" i="39"/>
  <c r="P114" i="39"/>
  <c r="P116" i="39"/>
  <c r="P118" i="39"/>
  <c r="P107" i="39"/>
  <c r="P111" i="39"/>
  <c r="P115" i="39"/>
  <c r="P119" i="39"/>
  <c r="P123" i="39"/>
  <c r="P127" i="39"/>
  <c r="P102" i="39"/>
  <c r="P131" i="39"/>
  <c r="P103" i="39"/>
  <c r="O54" i="39"/>
  <c r="O66" i="39"/>
  <c r="O35" i="39"/>
  <c r="O43" i="39"/>
  <c r="O17" i="39"/>
  <c r="O57" i="39"/>
  <c r="O59" i="39"/>
  <c r="O61" i="39"/>
  <c r="O65" i="39"/>
  <c r="O22" i="39"/>
  <c r="O24" i="39"/>
  <c r="O26" i="39"/>
  <c r="O30" i="39"/>
  <c r="O32" i="39"/>
  <c r="O34" i="39"/>
  <c r="O42" i="39"/>
  <c r="O46" i="39"/>
  <c r="O41" i="39"/>
  <c r="O29" i="39"/>
  <c r="O33" i="39"/>
  <c r="O48" i="39"/>
  <c r="O56" i="39"/>
  <c r="O64" i="39"/>
  <c r="O25" i="39"/>
  <c r="O58" i="39"/>
  <c r="O62" i="39"/>
  <c r="O70" i="39"/>
  <c r="O49" i="39"/>
  <c r="O19" i="39"/>
  <c r="O21" i="39"/>
  <c r="O38" i="39"/>
  <c r="O47" i="39"/>
  <c r="O50" i="39"/>
  <c r="O67" i="39"/>
  <c r="O69" i="39"/>
  <c r="O73" i="39"/>
  <c r="P101" i="39"/>
  <c r="P104" i="39"/>
  <c r="P109" i="39"/>
  <c r="P112" i="39"/>
  <c r="P117" i="39"/>
  <c r="O18" i="39"/>
  <c r="O37" i="39"/>
  <c r="O53" i="39"/>
  <c r="P100" i="39"/>
  <c r="P105" i="39"/>
  <c r="P113" i="39"/>
  <c r="O40" i="39"/>
  <c r="O45" i="39"/>
  <c r="P126" i="39"/>
  <c r="O27" i="39"/>
  <c r="O39" i="39"/>
  <c r="O71" i="39"/>
  <c r="O51" i="39"/>
  <c r="O20" i="39"/>
  <c r="O23" i="39"/>
  <c r="O28" i="39"/>
  <c r="O31" i="39"/>
  <c r="O36" i="39"/>
  <c r="O44" i="39"/>
  <c r="O52" i="39"/>
  <c r="O55" i="39"/>
  <c r="O60" i="39"/>
  <c r="O63" i="39"/>
  <c r="O68" i="39"/>
  <c r="P120" i="39"/>
  <c r="C18" i="39"/>
  <c r="C19" i="39" s="1"/>
  <c r="C20" i="39" s="1"/>
  <c r="C21" i="39" s="1"/>
  <c r="C22" i="39" s="1"/>
  <c r="C23" i="39" s="1"/>
  <c r="C24" i="39" s="1"/>
  <c r="C25" i="39" s="1"/>
  <c r="C26" i="39" s="1"/>
  <c r="C27" i="39" s="1"/>
  <c r="C28" i="39" s="1"/>
  <c r="C29" i="39" s="1"/>
  <c r="C30" i="39" s="1"/>
  <c r="C31" i="39" s="1"/>
  <c r="C32" i="39" s="1"/>
  <c r="C33" i="39" s="1"/>
  <c r="C34" i="39" s="1"/>
  <c r="C35" i="39" s="1"/>
  <c r="C36" i="39" s="1"/>
  <c r="C37" i="39" s="1"/>
  <c r="C38" i="39" s="1"/>
  <c r="C39" i="39" s="1"/>
  <c r="C40" i="39" s="1"/>
  <c r="C41" i="39" s="1"/>
  <c r="C42" i="39" s="1"/>
  <c r="C43" i="39" s="1"/>
  <c r="C44" i="39" s="1"/>
  <c r="C45" i="39" s="1"/>
  <c r="O72" i="39"/>
  <c r="C100" i="39"/>
  <c r="C101" i="39" s="1"/>
  <c r="C102" i="39" s="1"/>
  <c r="C103" i="39" s="1"/>
  <c r="C104" i="39" s="1"/>
  <c r="C105" i="39" s="1"/>
  <c r="C106" i="39" s="1"/>
  <c r="C107" i="39" s="1"/>
  <c r="C108" i="39" s="1"/>
  <c r="C109" i="39" s="1"/>
  <c r="C110" i="39" s="1"/>
  <c r="C111" i="39" s="1"/>
  <c r="C112" i="39" s="1"/>
  <c r="C113" i="39" s="1"/>
  <c r="C114" i="39" s="1"/>
  <c r="C115" i="39" s="1"/>
  <c r="C116" i="39" s="1"/>
  <c r="C117" i="39" s="1"/>
  <c r="C118" i="39" s="1"/>
  <c r="C119" i="39" s="1"/>
  <c r="C120" i="39" s="1"/>
  <c r="C121" i="39" s="1"/>
  <c r="C122" i="39" s="1"/>
  <c r="C123" i="39" s="1"/>
  <c r="C124" i="39" s="1"/>
  <c r="C125" i="39" s="1"/>
  <c r="C126" i="39" s="1"/>
  <c r="C127" i="39" s="1"/>
  <c r="P130" i="39"/>
  <c r="L87" i="39"/>
  <c r="P121" i="39"/>
  <c r="P125" i="39"/>
  <c r="P129" i="39"/>
  <c r="P122" i="39"/>
  <c r="P124" i="39"/>
  <c r="P128" i="39"/>
  <c r="E126" i="42" l="1"/>
  <c r="F126" i="42" s="1"/>
  <c r="C128" i="39"/>
  <c r="C129" i="39" s="1"/>
  <c r="C130" i="39" s="1"/>
  <c r="C131" i="39" s="1"/>
  <c r="C132" i="39" s="1"/>
  <c r="C133" i="39" s="1"/>
  <c r="C134" i="39" s="1"/>
  <c r="C135" i="39" s="1"/>
  <c r="C136" i="39" s="1"/>
  <c r="C137" i="39" s="1"/>
  <c r="C138" i="39" s="1"/>
  <c r="C139" i="39" s="1"/>
  <c r="C140" i="39" s="1"/>
  <c r="C141" i="39" s="1"/>
  <c r="C142" i="39" s="1"/>
  <c r="C143" i="39" s="1"/>
  <c r="C144" i="39" s="1"/>
  <c r="C145" i="39" s="1"/>
  <c r="C146" i="39" s="1"/>
  <c r="C147" i="39" s="1"/>
  <c r="C148" i="39" s="1"/>
  <c r="C149" i="39" s="1"/>
  <c r="C150" i="39" s="1"/>
  <c r="C151" i="39" s="1"/>
  <c r="C152" i="39" s="1"/>
  <c r="C153" i="39" s="1"/>
  <c r="C154" i="39" s="1"/>
  <c r="C155" i="39" s="1"/>
  <c r="B100" i="39"/>
  <c r="C46" i="39"/>
  <c r="C47" i="39" s="1"/>
  <c r="C48" i="39" s="1"/>
  <c r="C49" i="39" s="1"/>
  <c r="C50" i="39" s="1"/>
  <c r="C51" i="39" s="1"/>
  <c r="C52" i="39" s="1"/>
  <c r="C53" i="39" s="1"/>
  <c r="C54" i="39" s="1"/>
  <c r="C55" i="39" s="1"/>
  <c r="C56" i="39" s="1"/>
  <c r="C57" i="39" s="1"/>
  <c r="C58" i="39" s="1"/>
  <c r="C59" i="39" s="1"/>
  <c r="C60" i="39" s="1"/>
  <c r="C61" i="39" s="1"/>
  <c r="C62" i="39" s="1"/>
  <c r="C63" i="39" s="1"/>
  <c r="C64" i="39" s="1"/>
  <c r="C65" i="39" s="1"/>
  <c r="C66" i="39" s="1"/>
  <c r="C67" i="39" s="1"/>
  <c r="C68" i="39" s="1"/>
  <c r="C69" i="39" s="1"/>
  <c r="C70" i="39" s="1"/>
  <c r="C71" i="39" s="1"/>
  <c r="C72" i="39" s="1"/>
  <c r="M88" i="39"/>
  <c r="N88" i="39"/>
  <c r="G126" i="42" l="1"/>
  <c r="D127" i="42"/>
  <c r="B126" i="42"/>
  <c r="O88" i="39"/>
  <c r="B18" i="39"/>
  <c r="B101" i="39"/>
  <c r="E127" i="42" l="1"/>
  <c r="F127" i="42" s="1"/>
  <c r="J100" i="39"/>
  <c r="D128" i="42" l="1"/>
  <c r="E128" i="42" s="1"/>
  <c r="G127" i="42"/>
  <c r="B127" i="42"/>
  <c r="F128" i="42" l="1"/>
  <c r="M89" i="39"/>
  <c r="M90" i="39" s="1"/>
  <c r="N89" i="39"/>
  <c r="D129" i="42" l="1"/>
  <c r="G128" i="42"/>
  <c r="E129" i="42"/>
  <c r="B128" i="42"/>
  <c r="N90" i="39"/>
  <c r="O89" i="39"/>
  <c r="O90" i="39" s="1"/>
  <c r="F129" i="42" l="1"/>
  <c r="G129" i="42" l="1"/>
  <c r="D130" i="42"/>
  <c r="B129" i="42"/>
  <c r="E130" i="42" l="1"/>
  <c r="F130" i="42" s="1"/>
  <c r="D131" i="42" l="1"/>
  <c r="E131" i="42"/>
  <c r="G130" i="42"/>
  <c r="B130" i="42"/>
  <c r="F131" i="42" l="1"/>
  <c r="G131" i="42" l="1"/>
  <c r="D132" i="42"/>
  <c r="B131" i="42"/>
  <c r="E132" i="42" l="1"/>
  <c r="F132" i="42" s="1"/>
  <c r="D133" i="42" l="1"/>
  <c r="G132" i="42"/>
  <c r="E133" i="42"/>
  <c r="B132" i="42"/>
  <c r="F133" i="42" l="1"/>
  <c r="D134" i="42" l="1"/>
  <c r="G133" i="42"/>
  <c r="B133" i="42"/>
  <c r="E134" i="42" l="1"/>
  <c r="F134" i="42" s="1"/>
  <c r="D135" i="42" l="1"/>
  <c r="E135" i="42"/>
  <c r="G134" i="42"/>
  <c r="B134" i="42"/>
  <c r="F135" i="42" l="1"/>
  <c r="D136" i="42" l="1"/>
  <c r="G135" i="42"/>
  <c r="B135" i="42"/>
  <c r="E136" i="42" l="1"/>
  <c r="F136" i="42" s="1"/>
  <c r="D137" i="42" l="1"/>
  <c r="G136" i="42"/>
  <c r="E137" i="42"/>
  <c r="B136" i="42"/>
  <c r="F137" i="42" l="1"/>
  <c r="G137" i="42" l="1"/>
  <c r="D138" i="42"/>
  <c r="B137" i="42"/>
  <c r="E138" i="42" l="1"/>
  <c r="F138" i="42" s="1"/>
  <c r="G138" i="42" l="1"/>
  <c r="D139" i="42"/>
  <c r="B138" i="42"/>
  <c r="E139" i="42" l="1"/>
  <c r="F139" i="42" s="1"/>
  <c r="D140" i="42" l="1"/>
  <c r="G139" i="42"/>
  <c r="E140" i="42"/>
  <c r="B139" i="42"/>
  <c r="F140" i="42" l="1"/>
  <c r="D141" i="42" l="1"/>
  <c r="E141" i="42" s="1"/>
  <c r="G140" i="42"/>
  <c r="B140" i="42"/>
  <c r="F141" i="42" l="1"/>
  <c r="D142" i="42" l="1"/>
  <c r="G141" i="42"/>
  <c r="B141" i="42"/>
  <c r="E142" i="42" l="1"/>
  <c r="F142" i="42" s="1"/>
  <c r="G142" i="42" l="1"/>
  <c r="D143" i="42"/>
  <c r="B142" i="42"/>
  <c r="E143" i="42" l="1"/>
  <c r="F143" i="42" s="1"/>
  <c r="D144" i="42" l="1"/>
  <c r="G143" i="42"/>
  <c r="B143" i="42"/>
  <c r="E144" i="42" l="1"/>
  <c r="F144" i="42" s="1"/>
  <c r="D145" i="42" l="1"/>
  <c r="G144" i="42"/>
  <c r="E145" i="42"/>
  <c r="B144" i="42"/>
  <c r="F145" i="42" l="1"/>
  <c r="G145" i="42" l="1"/>
  <c r="D146" i="42"/>
  <c r="B145" i="42"/>
  <c r="E146" i="42" l="1"/>
  <c r="F146" i="42" s="1"/>
  <c r="G146" i="42" l="1"/>
  <c r="D147" i="42"/>
  <c r="B146" i="42"/>
  <c r="E147" i="42" l="1"/>
  <c r="F147" i="42" s="1"/>
  <c r="G147" i="42" l="1"/>
  <c r="D148" i="42"/>
  <c r="B147" i="42"/>
  <c r="E148" i="42" l="1"/>
  <c r="F148" i="42" s="1"/>
  <c r="D149" i="42" l="1"/>
  <c r="E149" i="42" s="1"/>
  <c r="G148" i="42"/>
  <c r="B148" i="42"/>
  <c r="F149" i="42" l="1"/>
  <c r="D150" i="42" l="1"/>
  <c r="G149" i="42"/>
  <c r="B149" i="42"/>
  <c r="E150" i="42" l="1"/>
  <c r="F150" i="42" s="1"/>
  <c r="G150" i="42" l="1"/>
  <c r="D151" i="42"/>
  <c r="B150" i="42"/>
  <c r="E151" i="42" l="1"/>
  <c r="F151" i="42" s="1"/>
  <c r="D152" i="42" l="1"/>
  <c r="G151" i="42"/>
  <c r="B151" i="42"/>
  <c r="E152" i="42" l="1"/>
  <c r="F152" i="42" s="1"/>
  <c r="D153" i="42" l="1"/>
  <c r="E153" i="42" s="1"/>
  <c r="G152" i="42"/>
  <c r="B152" i="42"/>
  <c r="F153" i="42" l="1"/>
  <c r="G153" i="42" l="1"/>
  <c r="D154" i="42"/>
  <c r="B153" i="42"/>
  <c r="E154" i="42" l="1"/>
  <c r="F154" i="42" s="1"/>
  <c r="G154" i="42" l="1"/>
  <c r="D155" i="42"/>
  <c r="B154" i="42"/>
  <c r="E155" i="42" l="1"/>
  <c r="F155" i="42" s="1"/>
  <c r="G155" i="42" l="1"/>
  <c r="E156" i="42"/>
  <c r="B155" i="42"/>
  <c r="M18" i="38" l="1"/>
  <c r="K18" i="38"/>
  <c r="L18" i="38" s="1"/>
  <c r="M19" i="37"/>
  <c r="K19" i="37"/>
  <c r="L19" i="37" s="1"/>
  <c r="M20" i="35"/>
  <c r="K20" i="35"/>
  <c r="L20" i="35" s="1"/>
  <c r="M20" i="34"/>
  <c r="K20" i="34"/>
  <c r="L20" i="34" s="1"/>
  <c r="M20" i="31"/>
  <c r="K20" i="31"/>
  <c r="L20" i="31" s="1"/>
  <c r="M21" i="29"/>
  <c r="K21" i="29"/>
  <c r="L21" i="29" s="1"/>
  <c r="M23" i="26"/>
  <c r="N23" i="26" s="1"/>
  <c r="K23" i="26"/>
  <c r="L23" i="26" s="1"/>
  <c r="M24" i="24"/>
  <c r="N24" i="24" s="1"/>
  <c r="K24" i="24"/>
  <c r="L24" i="24" s="1"/>
  <c r="M22" i="25"/>
  <c r="N22" i="25" s="1"/>
  <c r="K22" i="25"/>
  <c r="L22" i="25" s="1"/>
  <c r="M23" i="23"/>
  <c r="N23" i="23" s="1"/>
  <c r="K23" i="23"/>
  <c r="L23" i="23" s="1"/>
  <c r="M23" i="22"/>
  <c r="N23" i="22" s="1"/>
  <c r="K23" i="22"/>
  <c r="L23" i="22" s="1"/>
  <c r="M24" i="21"/>
  <c r="N24" i="21" s="1"/>
  <c r="K24" i="21"/>
  <c r="L24" i="21" s="1"/>
  <c r="M26" i="19"/>
  <c r="N26" i="19" s="1"/>
  <c r="K26" i="19"/>
  <c r="L26" i="19" s="1"/>
  <c r="M26" i="18"/>
  <c r="N26" i="18" s="1"/>
  <c r="K26" i="18"/>
  <c r="L26" i="18" s="1"/>
  <c r="M27" i="4"/>
  <c r="N27" i="4" s="1"/>
  <c r="K27" i="4"/>
  <c r="L27" i="4" s="1"/>
  <c r="M27" i="3"/>
  <c r="N27" i="3" s="1"/>
  <c r="K27" i="3"/>
  <c r="L27" i="3" s="1"/>
  <c r="O22" i="25" l="1"/>
  <c r="O23" i="23"/>
  <c r="O23" i="22"/>
  <c r="O24" i="21"/>
  <c r="O27" i="4"/>
  <c r="O27" i="3"/>
  <c r="I13" i="17"/>
  <c r="O101" i="37" l="1"/>
  <c r="O102" i="37"/>
  <c r="L19" i="1" l="1"/>
  <c r="K26" i="3"/>
  <c r="L26" i="3" s="1"/>
  <c r="M22" i="22"/>
  <c r="N22" i="22" s="1"/>
  <c r="M22" i="23"/>
  <c r="N22" i="23" s="1"/>
  <c r="K23" i="27"/>
  <c r="L23" i="27" s="1"/>
  <c r="M23" i="27"/>
  <c r="N23" i="27" s="1"/>
  <c r="O23" i="27" s="1"/>
  <c r="N101" i="35"/>
  <c r="O101" i="35" s="1"/>
  <c r="P101" i="35" s="1"/>
  <c r="M101" i="35"/>
  <c r="L101" i="35"/>
  <c r="N101" i="34"/>
  <c r="O101" i="34" s="1"/>
  <c r="M101" i="34"/>
  <c r="L101" i="34"/>
  <c r="N101" i="31"/>
  <c r="O101" i="31" s="1"/>
  <c r="P101" i="31" s="1"/>
  <c r="M101" i="31"/>
  <c r="L101" i="31"/>
  <c r="N101" i="29"/>
  <c r="O101" i="29" s="1"/>
  <c r="P101" i="29" s="1"/>
  <c r="M101" i="29"/>
  <c r="L101" i="29"/>
  <c r="N105" i="28"/>
  <c r="O105" i="28" s="1"/>
  <c r="P105" i="28" s="1"/>
  <c r="M105" i="28"/>
  <c r="L105" i="28"/>
  <c r="N105" i="27"/>
  <c r="O105" i="27" s="1"/>
  <c r="L105" i="27"/>
  <c r="M105" i="27" s="1"/>
  <c r="N104" i="26"/>
  <c r="O104" i="26" s="1"/>
  <c r="P104" i="26" s="1"/>
  <c r="M104" i="26"/>
  <c r="L104" i="26"/>
  <c r="N105" i="24"/>
  <c r="O105" i="24" s="1"/>
  <c r="P105" i="24" s="1"/>
  <c r="M105" i="24"/>
  <c r="L105" i="24"/>
  <c r="N103" i="25"/>
  <c r="O103" i="25" s="1"/>
  <c r="P103" i="25" s="1"/>
  <c r="M103" i="25"/>
  <c r="L103" i="25"/>
  <c r="N104" i="23"/>
  <c r="O104" i="23" s="1"/>
  <c r="P104" i="23" s="1"/>
  <c r="M104" i="23"/>
  <c r="L104" i="23"/>
  <c r="N104" i="22"/>
  <c r="O104" i="22" s="1"/>
  <c r="P104" i="22" s="1"/>
  <c r="M104" i="22"/>
  <c r="L104" i="22"/>
  <c r="N105" i="21"/>
  <c r="O105" i="21" s="1"/>
  <c r="P105" i="21" s="1"/>
  <c r="M105" i="21"/>
  <c r="L105" i="21"/>
  <c r="N107" i="19"/>
  <c r="O107" i="19" s="1"/>
  <c r="P107" i="19" s="1"/>
  <c r="M107" i="19"/>
  <c r="L107" i="19"/>
  <c r="N107" i="18"/>
  <c r="O107" i="18" s="1"/>
  <c r="L107" i="18"/>
  <c r="M107" i="18" s="1"/>
  <c r="N108" i="4"/>
  <c r="O108" i="4" s="1"/>
  <c r="L108" i="4"/>
  <c r="M108" i="4" s="1"/>
  <c r="N108" i="3"/>
  <c r="O108" i="3" s="1"/>
  <c r="P108" i="3" s="1"/>
  <c r="L108" i="3"/>
  <c r="M108" i="3" s="1"/>
  <c r="P101" i="34" l="1"/>
  <c r="P105" i="27"/>
  <c r="P102" i="37"/>
  <c r="M26" i="3"/>
  <c r="N26" i="3" s="1"/>
  <c r="O26" i="3" s="1"/>
  <c r="M26" i="4"/>
  <c r="N26" i="4" s="1"/>
  <c r="M25" i="18"/>
  <c r="N25" i="18" s="1"/>
  <c r="M25" i="19"/>
  <c r="N25" i="19" s="1"/>
  <c r="M23" i="21"/>
  <c r="N23" i="21" s="1"/>
  <c r="K22" i="22"/>
  <c r="L22" i="22" s="1"/>
  <c r="O22" i="22" s="1"/>
  <c r="K22" i="23"/>
  <c r="L22" i="23" s="1"/>
  <c r="O22" i="23" s="1"/>
  <c r="M23" i="24"/>
  <c r="N23" i="24" s="1"/>
  <c r="M22" i="26"/>
  <c r="N22" i="26" s="1"/>
  <c r="K22" i="26"/>
  <c r="L22" i="26" s="1"/>
  <c r="M20" i="29"/>
  <c r="N20" i="29" s="1"/>
  <c r="K20" i="29"/>
  <c r="L20" i="29" s="1"/>
  <c r="M19" i="31"/>
  <c r="N19" i="31" s="1"/>
  <c r="K19" i="31"/>
  <c r="L19" i="31" s="1"/>
  <c r="M19" i="34"/>
  <c r="N19" i="34" s="1"/>
  <c r="M19" i="35"/>
  <c r="N19" i="35" s="1"/>
  <c r="M21" i="25"/>
  <c r="N21" i="25" s="1"/>
  <c r="P107" i="18"/>
  <c r="P108" i="4"/>
  <c r="O19" i="31" l="1"/>
  <c r="O22" i="26"/>
  <c r="K26" i="4"/>
  <c r="L26" i="4" s="1"/>
  <c r="O26" i="4" s="1"/>
  <c r="K25" i="18"/>
  <c r="L25" i="18" s="1"/>
  <c r="O25" i="18" s="1"/>
  <c r="K25" i="19"/>
  <c r="L25" i="19" s="1"/>
  <c r="O25" i="19" s="1"/>
  <c r="K23" i="21"/>
  <c r="L23" i="21" s="1"/>
  <c r="O23" i="21" s="1"/>
  <c r="K23" i="24"/>
  <c r="L23" i="24" s="1"/>
  <c r="O23" i="24" s="1"/>
  <c r="O20" i="29"/>
  <c r="K19" i="34"/>
  <c r="L19" i="34" s="1"/>
  <c r="O19" i="34" s="1"/>
  <c r="K19" i="35"/>
  <c r="L19" i="35" s="1"/>
  <c r="O19" i="35" s="1"/>
  <c r="K21" i="25"/>
  <c r="L21" i="25" s="1"/>
  <c r="O21" i="25" s="1"/>
  <c r="M17" i="38" l="1"/>
  <c r="K17" i="38"/>
  <c r="M18" i="37"/>
  <c r="K18" i="37"/>
  <c r="L18" i="37" s="1"/>
  <c r="I49" i="17"/>
  <c r="F12" i="1" l="1"/>
  <c r="D49" i="17"/>
  <c r="I38" i="17"/>
  <c r="I37" i="17"/>
  <c r="I39" i="17"/>
  <c r="I40" i="17"/>
  <c r="V40" i="17" l="1"/>
  <c r="V39" i="17"/>
  <c r="V38" i="17"/>
  <c r="V37" i="17"/>
  <c r="W36" i="17"/>
  <c r="D36" i="17"/>
  <c r="D37" i="17"/>
  <c r="D39" i="17"/>
  <c r="D40" i="17"/>
  <c r="D38" i="17"/>
  <c r="F58" i="2" l="1"/>
  <c r="C58" i="2"/>
  <c r="E34" i="2"/>
  <c r="C34" i="2"/>
  <c r="F81" i="2" l="1"/>
  <c r="C81" i="2"/>
  <c r="F75" i="2"/>
  <c r="C75" i="2"/>
  <c r="F47" i="2"/>
  <c r="F46" i="2"/>
  <c r="F45" i="2"/>
  <c r="F44" i="2"/>
  <c r="C47" i="2"/>
  <c r="C46" i="2"/>
  <c r="C45" i="2"/>
  <c r="C44" i="2"/>
  <c r="J95" i="40" l="1"/>
  <c r="J95" i="42"/>
  <c r="J95" i="41"/>
  <c r="J95" i="39"/>
  <c r="J96" i="39" s="1"/>
  <c r="F48" i="2"/>
  <c r="L22" i="17"/>
  <c r="P155" i="38"/>
  <c r="O155" i="38"/>
  <c r="M155" i="38"/>
  <c r="J155" i="38"/>
  <c r="P154" i="38"/>
  <c r="O154" i="38"/>
  <c r="M154" i="38"/>
  <c r="J154" i="38"/>
  <c r="P153" i="38"/>
  <c r="O153" i="38"/>
  <c r="M153" i="38"/>
  <c r="J153" i="38"/>
  <c r="P152" i="38"/>
  <c r="O152" i="38"/>
  <c r="M152" i="38"/>
  <c r="J152" i="38"/>
  <c r="P151" i="38"/>
  <c r="O151" i="38"/>
  <c r="M151" i="38"/>
  <c r="J151" i="38"/>
  <c r="P150" i="38"/>
  <c r="O150" i="38"/>
  <c r="M150" i="38"/>
  <c r="J150" i="38"/>
  <c r="P149" i="38"/>
  <c r="O149" i="38"/>
  <c r="M149" i="38"/>
  <c r="J149" i="38"/>
  <c r="P148" i="38"/>
  <c r="O148" i="38"/>
  <c r="M148" i="38"/>
  <c r="J148" i="38"/>
  <c r="P147" i="38"/>
  <c r="O147" i="38"/>
  <c r="M147" i="38"/>
  <c r="J147" i="38"/>
  <c r="P146" i="38"/>
  <c r="O146" i="38"/>
  <c r="M146" i="38"/>
  <c r="J146" i="38"/>
  <c r="P145" i="38"/>
  <c r="O145" i="38"/>
  <c r="M145" i="38"/>
  <c r="J145" i="38"/>
  <c r="P144" i="38"/>
  <c r="O144" i="38"/>
  <c r="M144" i="38"/>
  <c r="J144" i="38"/>
  <c r="P143" i="38"/>
  <c r="O143" i="38"/>
  <c r="M143" i="38"/>
  <c r="J143" i="38"/>
  <c r="P142" i="38"/>
  <c r="O142" i="38"/>
  <c r="M142" i="38"/>
  <c r="J142" i="38"/>
  <c r="P141" i="38"/>
  <c r="O141" i="38"/>
  <c r="M141" i="38"/>
  <c r="J141" i="38"/>
  <c r="P140" i="38"/>
  <c r="O140" i="38"/>
  <c r="M140" i="38"/>
  <c r="J140" i="38"/>
  <c r="P139" i="38"/>
  <c r="O139" i="38"/>
  <c r="M139" i="38"/>
  <c r="J139" i="38"/>
  <c r="P138" i="38"/>
  <c r="O138" i="38"/>
  <c r="M138" i="38"/>
  <c r="J138" i="38"/>
  <c r="P137" i="38"/>
  <c r="O137" i="38"/>
  <c r="M137" i="38"/>
  <c r="J137" i="38"/>
  <c r="P136" i="38"/>
  <c r="O136" i="38"/>
  <c r="M136" i="38"/>
  <c r="J136" i="38"/>
  <c r="P135" i="38"/>
  <c r="O135" i="38"/>
  <c r="M135" i="38"/>
  <c r="J135" i="38"/>
  <c r="P134" i="38"/>
  <c r="O134" i="38"/>
  <c r="M134" i="38"/>
  <c r="J134" i="38"/>
  <c r="P133" i="38"/>
  <c r="O133" i="38"/>
  <c r="M133" i="38"/>
  <c r="J133" i="38"/>
  <c r="P132" i="38"/>
  <c r="O132" i="38"/>
  <c r="M132" i="38"/>
  <c r="J132" i="38"/>
  <c r="O131" i="38"/>
  <c r="M131" i="38"/>
  <c r="O130" i="38"/>
  <c r="M130" i="38"/>
  <c r="O129" i="38"/>
  <c r="M129" i="38"/>
  <c r="O128" i="38"/>
  <c r="M128" i="38"/>
  <c r="O127" i="38"/>
  <c r="M127" i="38"/>
  <c r="O126" i="38"/>
  <c r="M126" i="38"/>
  <c r="O125" i="38"/>
  <c r="M125" i="38"/>
  <c r="O124" i="38"/>
  <c r="M124" i="38"/>
  <c r="O123" i="38"/>
  <c r="M123" i="38"/>
  <c r="O122" i="38"/>
  <c r="M122" i="38"/>
  <c r="O121" i="38"/>
  <c r="M121" i="38"/>
  <c r="O120" i="38"/>
  <c r="M120" i="38"/>
  <c r="O119" i="38"/>
  <c r="M119" i="38"/>
  <c r="O118" i="38"/>
  <c r="M118" i="38"/>
  <c r="O117" i="38"/>
  <c r="M117" i="38"/>
  <c r="O116" i="38"/>
  <c r="M116" i="38"/>
  <c r="O115" i="38"/>
  <c r="M115" i="38"/>
  <c r="O114" i="38"/>
  <c r="M114" i="38"/>
  <c r="O113" i="38"/>
  <c r="M113" i="38"/>
  <c r="O112" i="38"/>
  <c r="M112" i="38"/>
  <c r="O111" i="38"/>
  <c r="M111" i="38"/>
  <c r="O110" i="38"/>
  <c r="M110" i="38"/>
  <c r="O109" i="38"/>
  <c r="M109" i="38"/>
  <c r="O108" i="38"/>
  <c r="M108" i="38"/>
  <c r="O107" i="38"/>
  <c r="M107" i="38"/>
  <c r="O106" i="38"/>
  <c r="M106" i="38"/>
  <c r="O105" i="38"/>
  <c r="M105" i="38"/>
  <c r="O104" i="38"/>
  <c r="M104" i="38"/>
  <c r="O103" i="38"/>
  <c r="M103" i="38"/>
  <c r="O102" i="38"/>
  <c r="O101" i="38"/>
  <c r="D97" i="38"/>
  <c r="D95" i="38"/>
  <c r="L94" i="38"/>
  <c r="J94" i="38"/>
  <c r="D94" i="38"/>
  <c r="D92" i="38"/>
  <c r="D90" i="38"/>
  <c r="N73" i="38"/>
  <c r="L73" i="38"/>
  <c r="N72" i="38"/>
  <c r="L72" i="38"/>
  <c r="N71" i="38"/>
  <c r="L71" i="38"/>
  <c r="N70" i="38"/>
  <c r="L70" i="38"/>
  <c r="N69" i="38"/>
  <c r="L69" i="38"/>
  <c r="N68" i="38"/>
  <c r="L68" i="38"/>
  <c r="N67" i="38"/>
  <c r="L67" i="38"/>
  <c r="N66" i="38"/>
  <c r="L66" i="38"/>
  <c r="N65" i="38"/>
  <c r="L65" i="38"/>
  <c r="N64" i="38"/>
  <c r="L64" i="38"/>
  <c r="N63" i="38"/>
  <c r="L63" i="38"/>
  <c r="N62" i="38"/>
  <c r="L62" i="38"/>
  <c r="N61" i="38"/>
  <c r="L61" i="38"/>
  <c r="N60" i="38"/>
  <c r="L60" i="38"/>
  <c r="N59" i="38"/>
  <c r="L59" i="38"/>
  <c r="N58" i="38"/>
  <c r="L58" i="38"/>
  <c r="N57" i="38"/>
  <c r="L57" i="38"/>
  <c r="N56" i="38"/>
  <c r="L56" i="38"/>
  <c r="N55" i="38"/>
  <c r="L55" i="38"/>
  <c r="N54" i="38"/>
  <c r="L54" i="38"/>
  <c r="N53" i="38"/>
  <c r="L53" i="38"/>
  <c r="N52" i="38"/>
  <c r="L52" i="38"/>
  <c r="N51" i="38"/>
  <c r="L51" i="38"/>
  <c r="N50" i="38"/>
  <c r="L50" i="38"/>
  <c r="N49" i="38"/>
  <c r="L49" i="38"/>
  <c r="N48" i="38"/>
  <c r="L48" i="38"/>
  <c r="N47" i="38"/>
  <c r="L47" i="38"/>
  <c r="N46" i="38"/>
  <c r="L46" i="38"/>
  <c r="N45" i="38"/>
  <c r="L45" i="38"/>
  <c r="N44" i="38"/>
  <c r="L44" i="38"/>
  <c r="N43" i="38"/>
  <c r="L43" i="38"/>
  <c r="N42" i="38"/>
  <c r="L42" i="38"/>
  <c r="N41" i="38"/>
  <c r="L41" i="38"/>
  <c r="N40" i="38"/>
  <c r="L40" i="38"/>
  <c r="N39" i="38"/>
  <c r="L39" i="38"/>
  <c r="N38" i="38"/>
  <c r="L38" i="38"/>
  <c r="N37" i="38"/>
  <c r="L37" i="38"/>
  <c r="N36" i="38"/>
  <c r="L36" i="38"/>
  <c r="N35" i="38"/>
  <c r="L35" i="38"/>
  <c r="N34" i="38"/>
  <c r="L34" i="38"/>
  <c r="N33" i="38"/>
  <c r="L33" i="38"/>
  <c r="N32" i="38"/>
  <c r="L32" i="38"/>
  <c r="N31" i="38"/>
  <c r="L31" i="38"/>
  <c r="N30" i="38"/>
  <c r="L30" i="38"/>
  <c r="N29" i="38"/>
  <c r="L29" i="38"/>
  <c r="N28" i="38"/>
  <c r="L28" i="38"/>
  <c r="N27" i="38"/>
  <c r="L27" i="38"/>
  <c r="N26" i="38"/>
  <c r="L26" i="38"/>
  <c r="N25" i="38"/>
  <c r="L25" i="38"/>
  <c r="N24" i="38"/>
  <c r="L24" i="38"/>
  <c r="N23" i="38"/>
  <c r="L23" i="38"/>
  <c r="N22" i="38"/>
  <c r="L22" i="38"/>
  <c r="N21" i="38"/>
  <c r="L21" i="38"/>
  <c r="N20" i="38"/>
  <c r="N19" i="38"/>
  <c r="N18" i="38"/>
  <c r="N17" i="38"/>
  <c r="L17" i="38"/>
  <c r="C17" i="38"/>
  <c r="C18" i="38" s="1"/>
  <c r="C19" i="38" s="1"/>
  <c r="C20" i="38" s="1"/>
  <c r="C21" i="38" s="1"/>
  <c r="C22" i="38" s="1"/>
  <c r="C23" i="38" s="1"/>
  <c r="C24" i="38" s="1"/>
  <c r="C25" i="38" s="1"/>
  <c r="C26" i="38" s="1"/>
  <c r="C27" i="38" s="1"/>
  <c r="C28" i="38" s="1"/>
  <c r="C29" i="38" s="1"/>
  <c r="C30" i="38" s="1"/>
  <c r="C31" i="38" s="1"/>
  <c r="C32" i="38" s="1"/>
  <c r="C33" i="38" s="1"/>
  <c r="C34" i="38" s="1"/>
  <c r="C35" i="38" s="1"/>
  <c r="C36" i="38" s="1"/>
  <c r="C37" i="38" s="1"/>
  <c r="C38" i="38" s="1"/>
  <c r="C39" i="38" s="1"/>
  <c r="C40" i="38" s="1"/>
  <c r="C41" i="38" s="1"/>
  <c r="C42" i="38" s="1"/>
  <c r="C43" i="38" s="1"/>
  <c r="C44" i="38" s="1"/>
  <c r="C45" i="38" s="1"/>
  <c r="C46" i="38" s="1"/>
  <c r="C47" i="38" s="1"/>
  <c r="C48" i="38" s="1"/>
  <c r="C49" i="38" s="1"/>
  <c r="C50" i="38" s="1"/>
  <c r="C51" i="38" s="1"/>
  <c r="C52" i="38" s="1"/>
  <c r="C53" i="38" s="1"/>
  <c r="C54" i="38" s="1"/>
  <c r="C55" i="38" s="1"/>
  <c r="C56" i="38" s="1"/>
  <c r="C57" i="38" s="1"/>
  <c r="C58" i="38" s="1"/>
  <c r="C59" i="38" s="1"/>
  <c r="C60" i="38" s="1"/>
  <c r="C61" i="38" s="1"/>
  <c r="C62" i="38" s="1"/>
  <c r="C63" i="38" s="1"/>
  <c r="C64" i="38" s="1"/>
  <c r="C65" i="38" s="1"/>
  <c r="C66" i="38" s="1"/>
  <c r="C67" i="38" s="1"/>
  <c r="C68" i="38" s="1"/>
  <c r="C69" i="38" s="1"/>
  <c r="C70" i="38" s="1"/>
  <c r="C71" i="38" s="1"/>
  <c r="C72" i="38" s="1"/>
  <c r="B17" i="38"/>
  <c r="K11" i="38"/>
  <c r="I11" i="38"/>
  <c r="I10" i="38"/>
  <c r="D91" i="38"/>
  <c r="P1" i="38"/>
  <c r="P84" i="38" s="1"/>
  <c r="M17" i="37"/>
  <c r="N17" i="37" s="1"/>
  <c r="K17" i="37"/>
  <c r="L17" i="37" s="1"/>
  <c r="N100" i="35"/>
  <c r="L100" i="35"/>
  <c r="M18" i="35"/>
  <c r="N18" i="35" s="1"/>
  <c r="K18" i="35"/>
  <c r="L18" i="35" s="1"/>
  <c r="N100" i="34"/>
  <c r="L100" i="34"/>
  <c r="M100" i="34" s="1"/>
  <c r="M18" i="34"/>
  <c r="N18" i="34" s="1"/>
  <c r="K18" i="34"/>
  <c r="L18" i="34" s="1"/>
  <c r="N100" i="31"/>
  <c r="L100" i="31"/>
  <c r="M18" i="31"/>
  <c r="N18" i="31" s="1"/>
  <c r="K18" i="31"/>
  <c r="L18" i="31" s="1"/>
  <c r="N100" i="29"/>
  <c r="L100" i="29"/>
  <c r="M100" i="29" s="1"/>
  <c r="M19" i="29"/>
  <c r="N19" i="29" s="1"/>
  <c r="K19" i="29"/>
  <c r="L19" i="29" s="1"/>
  <c r="N104" i="28"/>
  <c r="O104" i="28" s="1"/>
  <c r="P104" i="28" s="1"/>
  <c r="M104" i="28"/>
  <c r="L104" i="28"/>
  <c r="M22" i="28"/>
  <c r="N22" i="28" s="1"/>
  <c r="K22" i="28"/>
  <c r="L22" i="28" s="1"/>
  <c r="N104" i="27"/>
  <c r="O104" i="27" s="1"/>
  <c r="L104" i="27"/>
  <c r="M104" i="27" s="1"/>
  <c r="M22" i="27"/>
  <c r="N22" i="27" s="1"/>
  <c r="K22" i="27"/>
  <c r="L22" i="27" s="1"/>
  <c r="N103" i="26"/>
  <c r="O103" i="26" s="1"/>
  <c r="L103" i="26"/>
  <c r="M103" i="26"/>
  <c r="M21" i="26"/>
  <c r="N21" i="26" s="1"/>
  <c r="K21" i="26"/>
  <c r="L21" i="26" s="1"/>
  <c r="O21" i="26" s="1"/>
  <c r="N104" i="24"/>
  <c r="O104" i="24" s="1"/>
  <c r="L104" i="24"/>
  <c r="M104" i="24" s="1"/>
  <c r="M22" i="24"/>
  <c r="N22" i="24" s="1"/>
  <c r="K22" i="24"/>
  <c r="L22" i="24" s="1"/>
  <c r="N102" i="25"/>
  <c r="O102" i="25"/>
  <c r="L102" i="25"/>
  <c r="M102" i="25" s="1"/>
  <c r="P102" i="25" s="1"/>
  <c r="M20" i="25"/>
  <c r="N20" i="25" s="1"/>
  <c r="K20" i="25"/>
  <c r="L20" i="25" s="1"/>
  <c r="N103" i="23"/>
  <c r="O103" i="23" s="1"/>
  <c r="P103" i="23"/>
  <c r="M103" i="23"/>
  <c r="L103" i="23"/>
  <c r="M21" i="23"/>
  <c r="N21" i="23" s="1"/>
  <c r="L21" i="23"/>
  <c r="K21" i="23"/>
  <c r="N103" i="22"/>
  <c r="O103" i="22" s="1"/>
  <c r="L103" i="22"/>
  <c r="M103" i="22" s="1"/>
  <c r="M21" i="22"/>
  <c r="N21" i="22" s="1"/>
  <c r="K21" i="22"/>
  <c r="L21" i="22" s="1"/>
  <c r="N104" i="21"/>
  <c r="O104" i="21" s="1"/>
  <c r="P104" i="21" s="1"/>
  <c r="L104" i="21"/>
  <c r="M104" i="21" s="1"/>
  <c r="M22" i="21"/>
  <c r="N22" i="21" s="1"/>
  <c r="K22" i="21"/>
  <c r="L22" i="21" s="1"/>
  <c r="O22" i="21" s="1"/>
  <c r="N106" i="19"/>
  <c r="O106" i="19" s="1"/>
  <c r="M106" i="19"/>
  <c r="L106" i="19"/>
  <c r="M24" i="19"/>
  <c r="N24" i="19" s="1"/>
  <c r="K24" i="19"/>
  <c r="L24" i="19" s="1"/>
  <c r="N106" i="18"/>
  <c r="O106" i="18"/>
  <c r="P106" i="18" s="1"/>
  <c r="L106" i="18"/>
  <c r="M106" i="18" s="1"/>
  <c r="M24" i="18"/>
  <c r="N24" i="18" s="1"/>
  <c r="K24" i="18"/>
  <c r="L24" i="18" s="1"/>
  <c r="N107" i="4"/>
  <c r="O107" i="4"/>
  <c r="P107" i="4" s="1"/>
  <c r="L107" i="4"/>
  <c r="M107" i="4" s="1"/>
  <c r="M25" i="3"/>
  <c r="N25" i="3" s="1"/>
  <c r="O25" i="3" s="1"/>
  <c r="K25" i="3"/>
  <c r="L25" i="3" s="1"/>
  <c r="N107" i="3"/>
  <c r="O107" i="3" s="1"/>
  <c r="L107" i="3"/>
  <c r="M107" i="3" s="1"/>
  <c r="M25" i="4"/>
  <c r="N25" i="4" s="1"/>
  <c r="K25" i="4"/>
  <c r="L25" i="4" s="1"/>
  <c r="M17" i="31"/>
  <c r="K17" i="31"/>
  <c r="M17" i="35"/>
  <c r="N17" i="35"/>
  <c r="K17" i="35"/>
  <c r="L17" i="35" s="1"/>
  <c r="M17" i="34"/>
  <c r="N17" i="34" s="1"/>
  <c r="K17" i="34"/>
  <c r="C86" i="1"/>
  <c r="C79" i="1"/>
  <c r="F73" i="1"/>
  <c r="C63" i="1"/>
  <c r="F45" i="1"/>
  <c r="C44" i="1"/>
  <c r="F43" i="1"/>
  <c r="E31" i="1"/>
  <c r="C24" i="1"/>
  <c r="D18" i="1"/>
  <c r="I10" i="13"/>
  <c r="F57" i="1"/>
  <c r="C46" i="1"/>
  <c r="C57" i="1"/>
  <c r="C31" i="1"/>
  <c r="D19" i="1"/>
  <c r="C12" i="1"/>
  <c r="W35" i="17"/>
  <c r="D8" i="37"/>
  <c r="D91" i="37" s="1"/>
  <c r="P155" i="37"/>
  <c r="O155" i="37"/>
  <c r="M155" i="37"/>
  <c r="J155" i="37"/>
  <c r="P154" i="37"/>
  <c r="O154" i="37"/>
  <c r="M154" i="37"/>
  <c r="J154" i="37"/>
  <c r="P153" i="37"/>
  <c r="O153" i="37"/>
  <c r="M153" i="37"/>
  <c r="J153" i="37"/>
  <c r="P152" i="37"/>
  <c r="O152" i="37"/>
  <c r="M152" i="37"/>
  <c r="J152" i="37"/>
  <c r="P151" i="37"/>
  <c r="O151" i="37"/>
  <c r="M151" i="37"/>
  <c r="J151" i="37"/>
  <c r="P150" i="37"/>
  <c r="O150" i="37"/>
  <c r="M150" i="37"/>
  <c r="J150" i="37"/>
  <c r="P149" i="37"/>
  <c r="O149" i="37"/>
  <c r="M149" i="37"/>
  <c r="J149" i="37"/>
  <c r="P148" i="37"/>
  <c r="O148" i="37"/>
  <c r="M148" i="37"/>
  <c r="J148" i="37"/>
  <c r="P147" i="37"/>
  <c r="O147" i="37"/>
  <c r="M147" i="37"/>
  <c r="J147" i="37"/>
  <c r="P146" i="37"/>
  <c r="O146" i="37"/>
  <c r="M146" i="37"/>
  <c r="J146" i="37"/>
  <c r="P145" i="37"/>
  <c r="O145" i="37"/>
  <c r="M145" i="37"/>
  <c r="J145" i="37"/>
  <c r="P144" i="37"/>
  <c r="O144" i="37"/>
  <c r="M144" i="37"/>
  <c r="J144" i="37"/>
  <c r="P143" i="37"/>
  <c r="O143" i="37"/>
  <c r="M143" i="37"/>
  <c r="J143" i="37"/>
  <c r="P142" i="37"/>
  <c r="O142" i="37"/>
  <c r="M142" i="37"/>
  <c r="J142" i="37"/>
  <c r="P141" i="37"/>
  <c r="O141" i="37"/>
  <c r="M141" i="37"/>
  <c r="J141" i="37"/>
  <c r="P140" i="37"/>
  <c r="O140" i="37"/>
  <c r="M140" i="37"/>
  <c r="J140" i="37"/>
  <c r="P139" i="37"/>
  <c r="O139" i="37"/>
  <c r="M139" i="37"/>
  <c r="J139" i="37"/>
  <c r="P138" i="37"/>
  <c r="O138" i="37"/>
  <c r="M138" i="37"/>
  <c r="J138" i="37"/>
  <c r="P137" i="37"/>
  <c r="O137" i="37"/>
  <c r="M137" i="37"/>
  <c r="J137" i="37"/>
  <c r="P136" i="37"/>
  <c r="O136" i="37"/>
  <c r="M136" i="37"/>
  <c r="J136" i="37"/>
  <c r="P135" i="37"/>
  <c r="O135" i="37"/>
  <c r="M135" i="37"/>
  <c r="J135" i="37"/>
  <c r="P134" i="37"/>
  <c r="O134" i="37"/>
  <c r="M134" i="37"/>
  <c r="J134" i="37"/>
  <c r="P133" i="37"/>
  <c r="O133" i="37"/>
  <c r="M133" i="37"/>
  <c r="J133" i="37"/>
  <c r="P132" i="37"/>
  <c r="O132" i="37"/>
  <c r="M132" i="37"/>
  <c r="J132" i="37"/>
  <c r="O131" i="37"/>
  <c r="M131" i="37"/>
  <c r="O130" i="37"/>
  <c r="M130" i="37"/>
  <c r="O129" i="37"/>
  <c r="M129" i="37"/>
  <c r="O128" i="37"/>
  <c r="M128" i="37"/>
  <c r="O127" i="37"/>
  <c r="M127" i="37"/>
  <c r="O126" i="37"/>
  <c r="M126" i="37"/>
  <c r="O125" i="37"/>
  <c r="M125" i="37"/>
  <c r="O124" i="37"/>
  <c r="M124" i="37"/>
  <c r="O123" i="37"/>
  <c r="M123" i="37"/>
  <c r="O122" i="37"/>
  <c r="M122" i="37"/>
  <c r="O121" i="37"/>
  <c r="M121" i="37"/>
  <c r="O120" i="37"/>
  <c r="M120" i="37"/>
  <c r="O119" i="37"/>
  <c r="M119" i="37"/>
  <c r="O118" i="37"/>
  <c r="M118" i="37"/>
  <c r="O117" i="37"/>
  <c r="M117" i="37"/>
  <c r="O116" i="37"/>
  <c r="M116" i="37"/>
  <c r="O115" i="37"/>
  <c r="M115" i="37"/>
  <c r="O114" i="37"/>
  <c r="M114" i="37"/>
  <c r="O113" i="37"/>
  <c r="M113" i="37"/>
  <c r="O112" i="37"/>
  <c r="M112" i="37"/>
  <c r="O111" i="37"/>
  <c r="M111" i="37"/>
  <c r="O110" i="37"/>
  <c r="M110" i="37"/>
  <c r="O109" i="37"/>
  <c r="M109" i="37"/>
  <c r="O108" i="37"/>
  <c r="M108" i="37"/>
  <c r="O107" i="37"/>
  <c r="M107" i="37"/>
  <c r="O106" i="37"/>
  <c r="M106" i="37"/>
  <c r="O105" i="37"/>
  <c r="M105" i="37"/>
  <c r="O104" i="37"/>
  <c r="M104" i="37"/>
  <c r="O103" i="37"/>
  <c r="M103" i="37"/>
  <c r="D97" i="37"/>
  <c r="D95" i="37"/>
  <c r="L94" i="37"/>
  <c r="J94" i="37"/>
  <c r="D94" i="37"/>
  <c r="C101" i="37" s="1"/>
  <c r="C102" i="37" s="1"/>
  <c r="C103" i="37" s="1"/>
  <c r="C104" i="37" s="1"/>
  <c r="C105" i="37" s="1"/>
  <c r="C106" i="37" s="1"/>
  <c r="C107" i="37" s="1"/>
  <c r="C108" i="37" s="1"/>
  <c r="C109" i="37" s="1"/>
  <c r="C110" i="37" s="1"/>
  <c r="C111" i="37" s="1"/>
  <c r="C112" i="37" s="1"/>
  <c r="C113" i="37" s="1"/>
  <c r="C114" i="37" s="1"/>
  <c r="C115" i="37" s="1"/>
  <c r="C116" i="37" s="1"/>
  <c r="C117" i="37" s="1"/>
  <c r="C118" i="37" s="1"/>
  <c r="C119" i="37" s="1"/>
  <c r="C120" i="37" s="1"/>
  <c r="C121" i="37" s="1"/>
  <c r="C122" i="37" s="1"/>
  <c r="C123" i="37" s="1"/>
  <c r="C124" i="37" s="1"/>
  <c r="C125" i="37" s="1"/>
  <c r="C126" i="37" s="1"/>
  <c r="C127" i="37" s="1"/>
  <c r="C128" i="37" s="1"/>
  <c r="C129" i="37" s="1"/>
  <c r="C130" i="37" s="1"/>
  <c r="C131" i="37" s="1"/>
  <c r="C132" i="37" s="1"/>
  <c r="C133" i="37" s="1"/>
  <c r="C134" i="37" s="1"/>
  <c r="C135" i="37" s="1"/>
  <c r="C136" i="37" s="1"/>
  <c r="C137" i="37" s="1"/>
  <c r="C138" i="37" s="1"/>
  <c r="C139" i="37" s="1"/>
  <c r="C140" i="37" s="1"/>
  <c r="C141" i="37" s="1"/>
  <c r="C142" i="37" s="1"/>
  <c r="C143" i="37" s="1"/>
  <c r="C144" i="37" s="1"/>
  <c r="C145" i="37" s="1"/>
  <c r="C146" i="37" s="1"/>
  <c r="C147" i="37" s="1"/>
  <c r="C148" i="37" s="1"/>
  <c r="C149" i="37" s="1"/>
  <c r="C150" i="37" s="1"/>
  <c r="C151" i="37" s="1"/>
  <c r="C152" i="37" s="1"/>
  <c r="C153" i="37" s="1"/>
  <c r="C154" i="37" s="1"/>
  <c r="C155" i="37" s="1"/>
  <c r="C100" i="37"/>
  <c r="B100" i="37" s="1"/>
  <c r="D92" i="37"/>
  <c r="D90" i="37"/>
  <c r="N73" i="37"/>
  <c r="L73" i="37"/>
  <c r="N72" i="37"/>
  <c r="L72" i="37"/>
  <c r="N71" i="37"/>
  <c r="L71" i="37"/>
  <c r="N70" i="37"/>
  <c r="L70" i="37"/>
  <c r="N69" i="37"/>
  <c r="L69" i="37"/>
  <c r="N68" i="37"/>
  <c r="L68" i="37"/>
  <c r="N67" i="37"/>
  <c r="L67" i="37"/>
  <c r="N66" i="37"/>
  <c r="L66" i="37"/>
  <c r="N65" i="37"/>
  <c r="L65" i="37"/>
  <c r="N64" i="37"/>
  <c r="L64" i="37"/>
  <c r="N63" i="37"/>
  <c r="L63" i="37"/>
  <c r="N62" i="37"/>
  <c r="L62" i="37"/>
  <c r="N61" i="37"/>
  <c r="L61" i="37"/>
  <c r="N60" i="37"/>
  <c r="L60" i="37"/>
  <c r="N59" i="37"/>
  <c r="L59" i="37"/>
  <c r="N58" i="37"/>
  <c r="L58" i="37"/>
  <c r="N57" i="37"/>
  <c r="L57" i="37"/>
  <c r="N56" i="37"/>
  <c r="L56" i="37"/>
  <c r="N55" i="37"/>
  <c r="L55" i="37"/>
  <c r="N54" i="37"/>
  <c r="L54" i="37"/>
  <c r="N53" i="37"/>
  <c r="L53" i="37"/>
  <c r="N52" i="37"/>
  <c r="L52" i="37"/>
  <c r="N51" i="37"/>
  <c r="L51" i="37"/>
  <c r="N50" i="37"/>
  <c r="L50" i="37"/>
  <c r="N49" i="37"/>
  <c r="L49" i="37"/>
  <c r="N48" i="37"/>
  <c r="L48" i="37"/>
  <c r="N47" i="37"/>
  <c r="L47" i="37"/>
  <c r="N46" i="37"/>
  <c r="L46" i="37"/>
  <c r="N45" i="37"/>
  <c r="L45" i="37"/>
  <c r="N44" i="37"/>
  <c r="L44" i="37"/>
  <c r="N43" i="37"/>
  <c r="L43" i="37"/>
  <c r="N42" i="37"/>
  <c r="L42" i="37"/>
  <c r="N41" i="37"/>
  <c r="L41" i="37"/>
  <c r="N40" i="37"/>
  <c r="L40" i="37"/>
  <c r="N39" i="37"/>
  <c r="L39" i="37"/>
  <c r="N38" i="37"/>
  <c r="L38" i="37"/>
  <c r="N37" i="37"/>
  <c r="L37" i="37"/>
  <c r="N36" i="37"/>
  <c r="L36" i="37"/>
  <c r="N35" i="37"/>
  <c r="L35" i="37"/>
  <c r="N34" i="37"/>
  <c r="L34" i="37"/>
  <c r="N33" i="37"/>
  <c r="L33" i="37"/>
  <c r="N32" i="37"/>
  <c r="L32" i="37"/>
  <c r="N31" i="37"/>
  <c r="L31" i="37"/>
  <c r="N30" i="37"/>
  <c r="L30" i="37"/>
  <c r="N29" i="37"/>
  <c r="L29" i="37"/>
  <c r="N28" i="37"/>
  <c r="L28" i="37"/>
  <c r="N27" i="37"/>
  <c r="L27" i="37"/>
  <c r="N26" i="37"/>
  <c r="L26" i="37"/>
  <c r="N25" i="37"/>
  <c r="L25" i="37"/>
  <c r="N24" i="37"/>
  <c r="L24" i="37"/>
  <c r="N23" i="37"/>
  <c r="L23" i="37"/>
  <c r="N22" i="37"/>
  <c r="L22" i="37"/>
  <c r="N21" i="37"/>
  <c r="L21" i="37"/>
  <c r="N19" i="37"/>
  <c r="N18" i="37"/>
  <c r="C17" i="37"/>
  <c r="C18" i="37" s="1"/>
  <c r="C19" i="37" s="1"/>
  <c r="C20" i="37" s="1"/>
  <c r="C21" i="37" s="1"/>
  <c r="C22" i="37" s="1"/>
  <c r="C23" i="37" s="1"/>
  <c r="C24" i="37" s="1"/>
  <c r="C25" i="37" s="1"/>
  <c r="C26" i="37" s="1"/>
  <c r="C27" i="37" s="1"/>
  <c r="C28" i="37" s="1"/>
  <c r="C29" i="37" s="1"/>
  <c r="C30" i="37" s="1"/>
  <c r="C31" i="37" s="1"/>
  <c r="C32" i="37" s="1"/>
  <c r="C33" i="37" s="1"/>
  <c r="C34" i="37" s="1"/>
  <c r="C35" i="37" s="1"/>
  <c r="C36" i="37" s="1"/>
  <c r="C37" i="37" s="1"/>
  <c r="C38" i="37" s="1"/>
  <c r="C39" i="37" s="1"/>
  <c r="C40" i="37" s="1"/>
  <c r="C41" i="37" s="1"/>
  <c r="C42" i="37" s="1"/>
  <c r="C43" i="37" s="1"/>
  <c r="C44" i="37" s="1"/>
  <c r="C45" i="37" s="1"/>
  <c r="C46" i="37" s="1"/>
  <c r="C47" i="37" s="1"/>
  <c r="C48" i="37" s="1"/>
  <c r="C49" i="37" s="1"/>
  <c r="C50" i="37" s="1"/>
  <c r="C51" i="37" s="1"/>
  <c r="C52" i="37" s="1"/>
  <c r="C53" i="37" s="1"/>
  <c r="C54" i="37" s="1"/>
  <c r="C55" i="37" s="1"/>
  <c r="C56" i="37" s="1"/>
  <c r="C57" i="37" s="1"/>
  <c r="C58" i="37" s="1"/>
  <c r="C59" i="37" s="1"/>
  <c r="C60" i="37" s="1"/>
  <c r="C61" i="37" s="1"/>
  <c r="C62" i="37" s="1"/>
  <c r="C63" i="37" s="1"/>
  <c r="C64" i="37" s="1"/>
  <c r="C65" i="37" s="1"/>
  <c r="C66" i="37" s="1"/>
  <c r="C67" i="37" s="1"/>
  <c r="C68" i="37" s="1"/>
  <c r="C69" i="37" s="1"/>
  <c r="C70" i="37" s="1"/>
  <c r="C71" i="37" s="1"/>
  <c r="C72" i="37" s="1"/>
  <c r="B17" i="37"/>
  <c r="K11" i="37"/>
  <c r="I11" i="37"/>
  <c r="I10" i="37"/>
  <c r="P1" i="37"/>
  <c r="P84" i="37" s="1"/>
  <c r="M18" i="29"/>
  <c r="N18" i="29"/>
  <c r="K18" i="29"/>
  <c r="O103" i="28"/>
  <c r="N103" i="28"/>
  <c r="L103" i="28"/>
  <c r="M103" i="28" s="1"/>
  <c r="M21" i="28"/>
  <c r="N21" i="28" s="1"/>
  <c r="K21" i="28"/>
  <c r="L21" i="28" s="1"/>
  <c r="N103" i="27"/>
  <c r="O103" i="27"/>
  <c r="L103" i="27"/>
  <c r="M103" i="27" s="1"/>
  <c r="M21" i="27"/>
  <c r="N21" i="27"/>
  <c r="K21" i="27"/>
  <c r="L21" i="27" s="1"/>
  <c r="N102" i="26"/>
  <c r="O102" i="26" s="1"/>
  <c r="L102" i="26"/>
  <c r="M102" i="26" s="1"/>
  <c r="M20" i="26"/>
  <c r="K20" i="26"/>
  <c r="L20" i="26" s="1"/>
  <c r="N103" i="24"/>
  <c r="O103" i="24"/>
  <c r="P103" i="24" s="1"/>
  <c r="L103" i="24"/>
  <c r="M103" i="24" s="1"/>
  <c r="M21" i="24"/>
  <c r="K21" i="24"/>
  <c r="L21" i="24" s="1"/>
  <c r="N101" i="25"/>
  <c r="O101" i="25"/>
  <c r="P101" i="25" s="1"/>
  <c r="L101" i="25"/>
  <c r="M101" i="25"/>
  <c r="M19" i="25"/>
  <c r="N19" i="25"/>
  <c r="K19" i="25"/>
  <c r="L19" i="25" s="1"/>
  <c r="N102" i="23"/>
  <c r="O102" i="23" s="1"/>
  <c r="P102" i="23" s="1"/>
  <c r="L102" i="23"/>
  <c r="M102" i="23"/>
  <c r="M20" i="23"/>
  <c r="N20" i="23" s="1"/>
  <c r="K20" i="23"/>
  <c r="L20" i="23"/>
  <c r="N102" i="22"/>
  <c r="O102" i="22"/>
  <c r="P102" i="22" s="1"/>
  <c r="L102" i="22"/>
  <c r="M102" i="22" s="1"/>
  <c r="M20" i="22"/>
  <c r="N20" i="22"/>
  <c r="K20" i="22"/>
  <c r="L20" i="22" s="1"/>
  <c r="I20" i="22"/>
  <c r="N103" i="21"/>
  <c r="O103" i="21"/>
  <c r="L103" i="21"/>
  <c r="M103" i="21" s="1"/>
  <c r="M21" i="21"/>
  <c r="N21" i="21"/>
  <c r="K21" i="21"/>
  <c r="L21" i="21" s="1"/>
  <c r="N105" i="19"/>
  <c r="O105" i="19" s="1"/>
  <c r="L105" i="19"/>
  <c r="M105" i="19" s="1"/>
  <c r="M23" i="19"/>
  <c r="N23" i="19" s="1"/>
  <c r="O23" i="19" s="1"/>
  <c r="K23" i="19"/>
  <c r="L23" i="19" s="1"/>
  <c r="N105" i="18"/>
  <c r="O105" i="18" s="1"/>
  <c r="L105" i="18"/>
  <c r="M105" i="18"/>
  <c r="M23" i="18"/>
  <c r="N23" i="18" s="1"/>
  <c r="O23" i="18" s="1"/>
  <c r="K23" i="18"/>
  <c r="L23" i="18" s="1"/>
  <c r="N106" i="4"/>
  <c r="O106" i="4"/>
  <c r="L106" i="4"/>
  <c r="M106" i="4"/>
  <c r="M24" i="4"/>
  <c r="N24" i="4" s="1"/>
  <c r="O24" i="4" s="1"/>
  <c r="K24" i="4"/>
  <c r="L24" i="4" s="1"/>
  <c r="N106" i="3"/>
  <c r="O106" i="3"/>
  <c r="M106" i="3"/>
  <c r="L106" i="3"/>
  <c r="M24" i="3"/>
  <c r="N24" i="3" s="1"/>
  <c r="K24" i="3"/>
  <c r="L24" i="3"/>
  <c r="K17" i="29"/>
  <c r="F66" i="2"/>
  <c r="C66" i="2"/>
  <c r="I10" i="35"/>
  <c r="I10" i="34"/>
  <c r="D95" i="34" s="1"/>
  <c r="I10" i="31"/>
  <c r="I10" i="28"/>
  <c r="I10" i="27"/>
  <c r="I10" i="24"/>
  <c r="I10" i="25"/>
  <c r="D95" i="25" s="1"/>
  <c r="I10" i="23"/>
  <c r="D94" i="23" s="1"/>
  <c r="C100" i="23" s="1"/>
  <c r="C101" i="23" s="1"/>
  <c r="C102" i="23" s="1"/>
  <c r="C103" i="23" s="1"/>
  <c r="C104" i="23" s="1"/>
  <c r="C105" i="23" s="1"/>
  <c r="C106" i="23" s="1"/>
  <c r="C107" i="23" s="1"/>
  <c r="C108" i="23" s="1"/>
  <c r="C109" i="23" s="1"/>
  <c r="C110" i="23" s="1"/>
  <c r="C111" i="23" s="1"/>
  <c r="C112" i="23" s="1"/>
  <c r="C113" i="23" s="1"/>
  <c r="C114" i="23" s="1"/>
  <c r="C115" i="23" s="1"/>
  <c r="C116" i="23" s="1"/>
  <c r="C117" i="23" s="1"/>
  <c r="C118" i="23" s="1"/>
  <c r="C119" i="23" s="1"/>
  <c r="C120" i="23" s="1"/>
  <c r="C121" i="23" s="1"/>
  <c r="C122" i="23" s="1"/>
  <c r="C123" i="23" s="1"/>
  <c r="C124" i="23" s="1"/>
  <c r="C125" i="23" s="1"/>
  <c r="C126" i="23" s="1"/>
  <c r="C127" i="23" s="1"/>
  <c r="I10" i="21"/>
  <c r="I10" i="20"/>
  <c r="D93" i="20" s="1"/>
  <c r="J97" i="20" s="1"/>
  <c r="I10" i="19"/>
  <c r="D95" i="19" s="1"/>
  <c r="I10" i="4"/>
  <c r="D93" i="4" s="1"/>
  <c r="B106" i="4"/>
  <c r="I10" i="3"/>
  <c r="D93" i="3" s="1"/>
  <c r="N73" i="13"/>
  <c r="L73" i="13"/>
  <c r="N72" i="13"/>
  <c r="L72" i="13"/>
  <c r="N73" i="35"/>
  <c r="L73" i="35"/>
  <c r="N72" i="35"/>
  <c r="L72" i="35"/>
  <c r="N73" i="34"/>
  <c r="L73" i="34"/>
  <c r="N72" i="34"/>
  <c r="L72" i="34"/>
  <c r="D95" i="13"/>
  <c r="D94" i="13"/>
  <c r="W32" i="17"/>
  <c r="W33" i="17"/>
  <c r="W34" i="17"/>
  <c r="O42" i="17"/>
  <c r="N42" i="17"/>
  <c r="P1" i="35"/>
  <c r="P84" i="35" s="1"/>
  <c r="P155" i="35"/>
  <c r="O155" i="35"/>
  <c r="M155" i="35"/>
  <c r="J155" i="35"/>
  <c r="P154" i="35"/>
  <c r="O154" i="35"/>
  <c r="M154" i="35"/>
  <c r="J154" i="35"/>
  <c r="P153" i="35"/>
  <c r="O153" i="35"/>
  <c r="M153" i="35"/>
  <c r="J153" i="35"/>
  <c r="P152" i="35"/>
  <c r="O152" i="35"/>
  <c r="M152" i="35"/>
  <c r="J152" i="35"/>
  <c r="P151" i="35"/>
  <c r="O151" i="35"/>
  <c r="M151" i="35"/>
  <c r="J151" i="35"/>
  <c r="P150" i="35"/>
  <c r="O150" i="35"/>
  <c r="M150" i="35"/>
  <c r="J150" i="35"/>
  <c r="P149" i="35"/>
  <c r="O149" i="35"/>
  <c r="M149" i="35"/>
  <c r="J149" i="35"/>
  <c r="P148" i="35"/>
  <c r="O148" i="35"/>
  <c r="M148" i="35"/>
  <c r="J148" i="35"/>
  <c r="P147" i="35"/>
  <c r="O147" i="35"/>
  <c r="M147" i="35"/>
  <c r="J147" i="35"/>
  <c r="P146" i="35"/>
  <c r="O146" i="35"/>
  <c r="M146" i="35"/>
  <c r="J146" i="35"/>
  <c r="P145" i="35"/>
  <c r="O145" i="35"/>
  <c r="M145" i="35"/>
  <c r="J145" i="35"/>
  <c r="P144" i="35"/>
  <c r="O144" i="35"/>
  <c r="M144" i="35"/>
  <c r="J144" i="35"/>
  <c r="P143" i="35"/>
  <c r="O143" i="35"/>
  <c r="M143" i="35"/>
  <c r="J143" i="35"/>
  <c r="P142" i="35"/>
  <c r="O142" i="35"/>
  <c r="M142" i="35"/>
  <c r="J142" i="35"/>
  <c r="P141" i="35"/>
  <c r="O141" i="35"/>
  <c r="M141" i="35"/>
  <c r="J141" i="35"/>
  <c r="P140" i="35"/>
  <c r="O140" i="35"/>
  <c r="M140" i="35"/>
  <c r="J140" i="35"/>
  <c r="P139" i="35"/>
  <c r="O139" i="35"/>
  <c r="M139" i="35"/>
  <c r="J139" i="35"/>
  <c r="P138" i="35"/>
  <c r="O138" i="35"/>
  <c r="M138" i="35"/>
  <c r="J138" i="35"/>
  <c r="P137" i="35"/>
  <c r="O137" i="35"/>
  <c r="M137" i="35"/>
  <c r="J137" i="35"/>
  <c r="P136" i="35"/>
  <c r="O136" i="35"/>
  <c r="M136" i="35"/>
  <c r="J136" i="35"/>
  <c r="P135" i="35"/>
  <c r="O135" i="35"/>
  <c r="M135" i="35"/>
  <c r="J135" i="35"/>
  <c r="P134" i="35"/>
  <c r="O134" i="35"/>
  <c r="M134" i="35"/>
  <c r="J134" i="35"/>
  <c r="P133" i="35"/>
  <c r="O133" i="35"/>
  <c r="M133" i="35"/>
  <c r="J133" i="35"/>
  <c r="P132" i="35"/>
  <c r="O132" i="35"/>
  <c r="M132" i="35"/>
  <c r="J132" i="35"/>
  <c r="O131" i="35"/>
  <c r="M131" i="35"/>
  <c r="O130" i="35"/>
  <c r="M130" i="35"/>
  <c r="O129" i="35"/>
  <c r="M129" i="35"/>
  <c r="O128" i="35"/>
  <c r="M128" i="35"/>
  <c r="O127" i="35"/>
  <c r="M127" i="35"/>
  <c r="O126" i="35"/>
  <c r="M126" i="35"/>
  <c r="O125" i="35"/>
  <c r="M125" i="35"/>
  <c r="O124" i="35"/>
  <c r="M124" i="35"/>
  <c r="O123" i="35"/>
  <c r="M123" i="35"/>
  <c r="O122" i="35"/>
  <c r="M122" i="35"/>
  <c r="O121" i="35"/>
  <c r="M121" i="35"/>
  <c r="O120" i="35"/>
  <c r="M120" i="35"/>
  <c r="O119" i="35"/>
  <c r="M119" i="35"/>
  <c r="O118" i="35"/>
  <c r="M118" i="35"/>
  <c r="O117" i="35"/>
  <c r="M117" i="35"/>
  <c r="O116" i="35"/>
  <c r="M116" i="35"/>
  <c r="O115" i="35"/>
  <c r="M115" i="35"/>
  <c r="O114" i="35"/>
  <c r="M114" i="35"/>
  <c r="O113" i="35"/>
  <c r="M113" i="35"/>
  <c r="O112" i="35"/>
  <c r="M112" i="35"/>
  <c r="O111" i="35"/>
  <c r="M111" i="35"/>
  <c r="O110" i="35"/>
  <c r="M110" i="35"/>
  <c r="O109" i="35"/>
  <c r="M109" i="35"/>
  <c r="O108" i="35"/>
  <c r="M108" i="35"/>
  <c r="O107" i="35"/>
  <c r="M107" i="35"/>
  <c r="O106" i="35"/>
  <c r="M106" i="35"/>
  <c r="O105" i="35"/>
  <c r="M105" i="35"/>
  <c r="O104" i="35"/>
  <c r="M104" i="35"/>
  <c r="O103" i="35"/>
  <c r="O102" i="35"/>
  <c r="O100" i="35"/>
  <c r="M100" i="35"/>
  <c r="D97" i="35"/>
  <c r="L94" i="35"/>
  <c r="J94" i="35"/>
  <c r="D92" i="35"/>
  <c r="D90" i="35"/>
  <c r="N71" i="35"/>
  <c r="L71" i="35"/>
  <c r="N70" i="35"/>
  <c r="L70" i="35"/>
  <c r="N69" i="35"/>
  <c r="L69" i="35"/>
  <c r="N68" i="35"/>
  <c r="L68" i="35"/>
  <c r="N67" i="35"/>
  <c r="L67" i="35"/>
  <c r="N66" i="35"/>
  <c r="L66" i="35"/>
  <c r="N65" i="35"/>
  <c r="L65" i="35"/>
  <c r="N64" i="35"/>
  <c r="L64" i="35"/>
  <c r="N63" i="35"/>
  <c r="L63" i="35"/>
  <c r="N62" i="35"/>
  <c r="L62" i="35"/>
  <c r="N61" i="35"/>
  <c r="L61" i="35"/>
  <c r="N60" i="35"/>
  <c r="L60" i="35"/>
  <c r="N59" i="35"/>
  <c r="L59" i="35"/>
  <c r="N58" i="35"/>
  <c r="L58" i="35"/>
  <c r="N57" i="35"/>
  <c r="L57" i="35"/>
  <c r="N56" i="35"/>
  <c r="L56" i="35"/>
  <c r="N55" i="35"/>
  <c r="L55" i="35"/>
  <c r="N54" i="35"/>
  <c r="L54" i="35"/>
  <c r="N53" i="35"/>
  <c r="L53" i="35"/>
  <c r="N52" i="35"/>
  <c r="L52" i="35"/>
  <c r="N51" i="35"/>
  <c r="L51" i="35"/>
  <c r="N50" i="35"/>
  <c r="L50" i="35"/>
  <c r="N49" i="35"/>
  <c r="L49" i="35"/>
  <c r="N48" i="35"/>
  <c r="L48" i="35"/>
  <c r="N47" i="35"/>
  <c r="L47" i="35"/>
  <c r="N46" i="35"/>
  <c r="L46" i="35"/>
  <c r="N45" i="35"/>
  <c r="L45" i="35"/>
  <c r="N44" i="35"/>
  <c r="L44" i="35"/>
  <c r="N43" i="35"/>
  <c r="L43" i="35"/>
  <c r="N42" i="35"/>
  <c r="L42" i="35"/>
  <c r="N41" i="35"/>
  <c r="L41" i="35"/>
  <c r="N40" i="35"/>
  <c r="L40" i="35"/>
  <c r="N39" i="35"/>
  <c r="L39" i="35"/>
  <c r="N38" i="35"/>
  <c r="L38" i="35"/>
  <c r="N37" i="35"/>
  <c r="L37" i="35"/>
  <c r="N36" i="35"/>
  <c r="L36" i="35"/>
  <c r="N35" i="35"/>
  <c r="L35" i="35"/>
  <c r="N34" i="35"/>
  <c r="L34" i="35"/>
  <c r="N33" i="35"/>
  <c r="L33" i="35"/>
  <c r="N32" i="35"/>
  <c r="L32" i="35"/>
  <c r="N31" i="35"/>
  <c r="L31" i="35"/>
  <c r="N30" i="35"/>
  <c r="L30" i="35"/>
  <c r="N29" i="35"/>
  <c r="L29" i="35"/>
  <c r="N28" i="35"/>
  <c r="L28" i="35"/>
  <c r="N27" i="35"/>
  <c r="L27" i="35"/>
  <c r="N26" i="35"/>
  <c r="L26" i="35"/>
  <c r="N25" i="35"/>
  <c r="L25" i="35"/>
  <c r="N24" i="35"/>
  <c r="L24" i="35"/>
  <c r="N23" i="35"/>
  <c r="L23" i="35"/>
  <c r="N22" i="35"/>
  <c r="L22" i="35"/>
  <c r="N21" i="35"/>
  <c r="N20" i="35"/>
  <c r="C17" i="35"/>
  <c r="C18" i="35" s="1"/>
  <c r="C19" i="35" s="1"/>
  <c r="C20" i="35" s="1"/>
  <c r="C21" i="35" s="1"/>
  <c r="C22" i="35" s="1"/>
  <c r="C23" i="35" s="1"/>
  <c r="C24" i="35" s="1"/>
  <c r="C25" i="35" s="1"/>
  <c r="C26" i="35" s="1"/>
  <c r="C27" i="35" s="1"/>
  <c r="C28" i="35" s="1"/>
  <c r="C29" i="35" s="1"/>
  <c r="C30" i="35" s="1"/>
  <c r="C31" i="35" s="1"/>
  <c r="C32" i="35" s="1"/>
  <c r="C33" i="35" s="1"/>
  <c r="C34" i="35" s="1"/>
  <c r="C35" i="35" s="1"/>
  <c r="C36" i="35" s="1"/>
  <c r="C37" i="35" s="1"/>
  <c r="C38" i="35" s="1"/>
  <c r="C39" i="35" s="1"/>
  <c r="C40" i="35" s="1"/>
  <c r="C41" i="35" s="1"/>
  <c r="C42" i="35" s="1"/>
  <c r="C43" i="35" s="1"/>
  <c r="C44" i="35" s="1"/>
  <c r="C45" i="35" s="1"/>
  <c r="C46" i="35" s="1"/>
  <c r="C47" i="35" s="1"/>
  <c r="C48" i="35" s="1"/>
  <c r="C49" i="35" s="1"/>
  <c r="C50" i="35" s="1"/>
  <c r="C51" i="35" s="1"/>
  <c r="C52" i="35" s="1"/>
  <c r="C53" i="35" s="1"/>
  <c r="C54" i="35" s="1"/>
  <c r="C55" i="35" s="1"/>
  <c r="C56" i="35" s="1"/>
  <c r="C57" i="35" s="1"/>
  <c r="C58" i="35" s="1"/>
  <c r="C59" i="35" s="1"/>
  <c r="C60" i="35" s="1"/>
  <c r="C61" i="35" s="1"/>
  <c r="C62" i="35" s="1"/>
  <c r="C63" i="35" s="1"/>
  <c r="C64" i="35" s="1"/>
  <c r="C65" i="35" s="1"/>
  <c r="C66" i="35" s="1"/>
  <c r="C67" i="35" s="1"/>
  <c r="C68" i="35" s="1"/>
  <c r="C69" i="35" s="1"/>
  <c r="C70" i="35" s="1"/>
  <c r="C71" i="35" s="1"/>
  <c r="C72" i="35" s="1"/>
  <c r="K11" i="35"/>
  <c r="I11" i="35"/>
  <c r="D8" i="35"/>
  <c r="D91" i="35" s="1"/>
  <c r="P1" i="34"/>
  <c r="P84" i="34" s="1"/>
  <c r="P155" i="34"/>
  <c r="O155" i="34"/>
  <c r="M155" i="34"/>
  <c r="J155" i="34"/>
  <c r="P154" i="34"/>
  <c r="O154" i="34"/>
  <c r="M154" i="34"/>
  <c r="J154" i="34"/>
  <c r="P153" i="34"/>
  <c r="O153" i="34"/>
  <c r="M153" i="34"/>
  <c r="J153" i="34"/>
  <c r="P152" i="34"/>
  <c r="O152" i="34"/>
  <c r="M152" i="34"/>
  <c r="J152" i="34"/>
  <c r="P151" i="34"/>
  <c r="O151" i="34"/>
  <c r="M151" i="34"/>
  <c r="J151" i="34"/>
  <c r="P150" i="34"/>
  <c r="O150" i="34"/>
  <c r="M150" i="34"/>
  <c r="J150" i="34"/>
  <c r="P149" i="34"/>
  <c r="O149" i="34"/>
  <c r="M149" i="34"/>
  <c r="J149" i="34"/>
  <c r="P148" i="34"/>
  <c r="O148" i="34"/>
  <c r="M148" i="34"/>
  <c r="J148" i="34"/>
  <c r="P147" i="34"/>
  <c r="O147" i="34"/>
  <c r="M147" i="34"/>
  <c r="J147" i="34"/>
  <c r="P146" i="34"/>
  <c r="O146" i="34"/>
  <c r="M146" i="34"/>
  <c r="J146" i="34"/>
  <c r="P145" i="34"/>
  <c r="O145" i="34"/>
  <c r="M145" i="34"/>
  <c r="J145" i="34"/>
  <c r="P144" i="34"/>
  <c r="O144" i="34"/>
  <c r="M144" i="34"/>
  <c r="J144" i="34"/>
  <c r="P143" i="34"/>
  <c r="O143" i="34"/>
  <c r="M143" i="34"/>
  <c r="J143" i="34"/>
  <c r="P142" i="34"/>
  <c r="O142" i="34"/>
  <c r="M142" i="34"/>
  <c r="J142" i="34"/>
  <c r="P141" i="34"/>
  <c r="O141" i="34"/>
  <c r="M141" i="34"/>
  <c r="J141" i="34"/>
  <c r="P140" i="34"/>
  <c r="O140" i="34"/>
  <c r="M140" i="34"/>
  <c r="J140" i="34"/>
  <c r="P139" i="34"/>
  <c r="O139" i="34"/>
  <c r="M139" i="34"/>
  <c r="J139" i="34"/>
  <c r="P138" i="34"/>
  <c r="O138" i="34"/>
  <c r="M138" i="34"/>
  <c r="J138" i="34"/>
  <c r="P137" i="34"/>
  <c r="O137" i="34"/>
  <c r="M137" i="34"/>
  <c r="J137" i="34"/>
  <c r="P136" i="34"/>
  <c r="O136" i="34"/>
  <c r="M136" i="34"/>
  <c r="J136" i="34"/>
  <c r="P135" i="34"/>
  <c r="O135" i="34"/>
  <c r="M135" i="34"/>
  <c r="J135" i="34"/>
  <c r="P134" i="34"/>
  <c r="O134" i="34"/>
  <c r="M134" i="34"/>
  <c r="J134" i="34"/>
  <c r="P133" i="34"/>
  <c r="O133" i="34"/>
  <c r="M133" i="34"/>
  <c r="J133" i="34"/>
  <c r="P132" i="34"/>
  <c r="O132" i="34"/>
  <c r="M132" i="34"/>
  <c r="J132" i="34"/>
  <c r="O131" i="34"/>
  <c r="M131" i="34"/>
  <c r="O130" i="34"/>
  <c r="M130" i="34"/>
  <c r="O129" i="34"/>
  <c r="M129" i="34"/>
  <c r="O128" i="34"/>
  <c r="M128" i="34"/>
  <c r="O127" i="34"/>
  <c r="M127" i="34"/>
  <c r="O126" i="34"/>
  <c r="M126" i="34"/>
  <c r="O125" i="34"/>
  <c r="M125" i="34"/>
  <c r="O124" i="34"/>
  <c r="M124" i="34"/>
  <c r="O123" i="34"/>
  <c r="M123" i="34"/>
  <c r="O122" i="34"/>
  <c r="M122" i="34"/>
  <c r="O121" i="34"/>
  <c r="M121" i="34"/>
  <c r="O120" i="34"/>
  <c r="M120" i="34"/>
  <c r="O119" i="34"/>
  <c r="M119" i="34"/>
  <c r="O118" i="34"/>
  <c r="M118" i="34"/>
  <c r="O117" i="34"/>
  <c r="M117" i="34"/>
  <c r="O116" i="34"/>
  <c r="M116" i="34"/>
  <c r="O115" i="34"/>
  <c r="M115" i="34"/>
  <c r="O114" i="34"/>
  <c r="M114" i="34"/>
  <c r="O113" i="34"/>
  <c r="M113" i="34"/>
  <c r="O112" i="34"/>
  <c r="M112" i="34"/>
  <c r="O111" i="34"/>
  <c r="M111" i="34"/>
  <c r="O110" i="34"/>
  <c r="M110" i="34"/>
  <c r="O109" i="34"/>
  <c r="M109" i="34"/>
  <c r="O108" i="34"/>
  <c r="M108" i="34"/>
  <c r="O107" i="34"/>
  <c r="M107" i="34"/>
  <c r="O106" i="34"/>
  <c r="M106" i="34"/>
  <c r="O105" i="34"/>
  <c r="M105" i="34"/>
  <c r="O104" i="34"/>
  <c r="M104" i="34"/>
  <c r="O103" i="34"/>
  <c r="O102" i="34"/>
  <c r="O100" i="34"/>
  <c r="D97" i="34"/>
  <c r="L94" i="34"/>
  <c r="J94" i="34"/>
  <c r="D92" i="34"/>
  <c r="D90" i="34"/>
  <c r="N71" i="34"/>
  <c r="L71" i="34"/>
  <c r="N70" i="34"/>
  <c r="L70" i="34"/>
  <c r="N69" i="34"/>
  <c r="L69" i="34"/>
  <c r="N68" i="34"/>
  <c r="L68" i="34"/>
  <c r="N67" i="34"/>
  <c r="L67" i="34"/>
  <c r="N66" i="34"/>
  <c r="L66" i="34"/>
  <c r="N65" i="34"/>
  <c r="L65" i="34"/>
  <c r="N64" i="34"/>
  <c r="L64" i="34"/>
  <c r="N63" i="34"/>
  <c r="L63" i="34"/>
  <c r="N62" i="34"/>
  <c r="L62" i="34"/>
  <c r="N61" i="34"/>
  <c r="L61" i="34"/>
  <c r="N60" i="34"/>
  <c r="L60" i="34"/>
  <c r="N59" i="34"/>
  <c r="L59" i="34"/>
  <c r="N58" i="34"/>
  <c r="L58" i="34"/>
  <c r="N57" i="34"/>
  <c r="L57" i="34"/>
  <c r="N56" i="34"/>
  <c r="L56" i="34"/>
  <c r="N55" i="34"/>
  <c r="L55" i="34"/>
  <c r="N54" i="34"/>
  <c r="L54" i="34"/>
  <c r="N53" i="34"/>
  <c r="L53" i="34"/>
  <c r="N52" i="34"/>
  <c r="L52" i="34"/>
  <c r="N51" i="34"/>
  <c r="L51" i="34"/>
  <c r="N50" i="34"/>
  <c r="L50" i="34"/>
  <c r="N49" i="34"/>
  <c r="L49" i="34"/>
  <c r="N48" i="34"/>
  <c r="L48" i="34"/>
  <c r="N47" i="34"/>
  <c r="L47" i="34"/>
  <c r="N46" i="34"/>
  <c r="L46" i="34"/>
  <c r="N45" i="34"/>
  <c r="L45" i="34"/>
  <c r="N44" i="34"/>
  <c r="L44" i="34"/>
  <c r="N43" i="34"/>
  <c r="L43" i="34"/>
  <c r="N42" i="34"/>
  <c r="L42" i="34"/>
  <c r="N41" i="34"/>
  <c r="L41" i="34"/>
  <c r="N40" i="34"/>
  <c r="L40" i="34"/>
  <c r="N39" i="34"/>
  <c r="L39" i="34"/>
  <c r="N38" i="34"/>
  <c r="L38" i="34"/>
  <c r="N37" i="34"/>
  <c r="L37" i="34"/>
  <c r="N36" i="34"/>
  <c r="L36" i="34"/>
  <c r="N35" i="34"/>
  <c r="L35" i="34"/>
  <c r="N34" i="34"/>
  <c r="L34" i="34"/>
  <c r="N33" i="34"/>
  <c r="L33" i="34"/>
  <c r="N32" i="34"/>
  <c r="L32" i="34"/>
  <c r="N31" i="34"/>
  <c r="L31" i="34"/>
  <c r="N30" i="34"/>
  <c r="L30" i="34"/>
  <c r="N29" i="34"/>
  <c r="L29" i="34"/>
  <c r="N28" i="34"/>
  <c r="L28" i="34"/>
  <c r="N27" i="34"/>
  <c r="L27" i="34"/>
  <c r="N26" i="34"/>
  <c r="L26" i="34"/>
  <c r="N25" i="34"/>
  <c r="L25" i="34"/>
  <c r="N24" i="34"/>
  <c r="L24" i="34"/>
  <c r="N23" i="34"/>
  <c r="L23" i="34"/>
  <c r="N22" i="34"/>
  <c r="L22" i="34"/>
  <c r="N21" i="34"/>
  <c r="N20" i="34"/>
  <c r="L17" i="34"/>
  <c r="C17" i="34"/>
  <c r="C18" i="34"/>
  <c r="C19" i="34" s="1"/>
  <c r="C20" i="34" s="1"/>
  <c r="C21" i="34" s="1"/>
  <c r="C22" i="34" s="1"/>
  <c r="C23" i="34" s="1"/>
  <c r="C24" i="34" s="1"/>
  <c r="C25" i="34" s="1"/>
  <c r="C26" i="34" s="1"/>
  <c r="C27" i="34" s="1"/>
  <c r="C28" i="34" s="1"/>
  <c r="C29" i="34" s="1"/>
  <c r="C30" i="34" s="1"/>
  <c r="C31" i="34" s="1"/>
  <c r="C32" i="34" s="1"/>
  <c r="C33" i="34" s="1"/>
  <c r="C34" i="34" s="1"/>
  <c r="C35" i="34" s="1"/>
  <c r="C36" i="34" s="1"/>
  <c r="C37" i="34" s="1"/>
  <c r="C38" i="34" s="1"/>
  <c r="C39" i="34" s="1"/>
  <c r="C40" i="34" s="1"/>
  <c r="C41" i="34" s="1"/>
  <c r="C42" i="34" s="1"/>
  <c r="C43" i="34" s="1"/>
  <c r="C44" i="34" s="1"/>
  <c r="B17" i="34"/>
  <c r="K11" i="34"/>
  <c r="I11" i="34"/>
  <c r="D8" i="34"/>
  <c r="D91" i="34" s="1"/>
  <c r="B21" i="28"/>
  <c r="B22" i="19"/>
  <c r="D93" i="25"/>
  <c r="N102" i="28"/>
  <c r="L102" i="28"/>
  <c r="M102" i="28" s="1"/>
  <c r="N102" i="27"/>
  <c r="L102" i="27"/>
  <c r="M102" i="27" s="1"/>
  <c r="P102" i="27" s="1"/>
  <c r="N101" i="26"/>
  <c r="L101" i="26"/>
  <c r="M101" i="26"/>
  <c r="N102" i="24"/>
  <c r="L102" i="24"/>
  <c r="M102" i="24"/>
  <c r="N100" i="25"/>
  <c r="L100" i="25"/>
  <c r="M100" i="25" s="1"/>
  <c r="L101" i="23"/>
  <c r="M101" i="23"/>
  <c r="N101" i="23"/>
  <c r="O101" i="23" s="1"/>
  <c r="L101" i="22"/>
  <c r="M101" i="22" s="1"/>
  <c r="N101" i="22"/>
  <c r="O101" i="22" s="1"/>
  <c r="P101" i="22" s="1"/>
  <c r="L102" i="21"/>
  <c r="M102" i="21"/>
  <c r="N102" i="21"/>
  <c r="L104" i="19"/>
  <c r="M104" i="19" s="1"/>
  <c r="N104" i="19"/>
  <c r="O104" i="19" s="1"/>
  <c r="L104" i="18"/>
  <c r="M104" i="18" s="1"/>
  <c r="N104" i="18"/>
  <c r="O104" i="18"/>
  <c r="P104" i="18" s="1"/>
  <c r="L105" i="3"/>
  <c r="M105" i="3" s="1"/>
  <c r="N105" i="3"/>
  <c r="O105" i="3" s="1"/>
  <c r="M17" i="29"/>
  <c r="L17" i="29"/>
  <c r="K20" i="28"/>
  <c r="L20" i="28" s="1"/>
  <c r="M20" i="28"/>
  <c r="K20" i="27"/>
  <c r="L20" i="27" s="1"/>
  <c r="O20" i="27" s="1"/>
  <c r="M20" i="27"/>
  <c r="K19" i="26"/>
  <c r="L19" i="26"/>
  <c r="M19" i="26"/>
  <c r="K20" i="24"/>
  <c r="L20" i="24"/>
  <c r="M20" i="24"/>
  <c r="K18" i="25"/>
  <c r="L18" i="25" s="1"/>
  <c r="M18" i="25"/>
  <c r="K19" i="23"/>
  <c r="L19" i="23"/>
  <c r="M19" i="23"/>
  <c r="K19" i="22"/>
  <c r="L19" i="22" s="1"/>
  <c r="M19" i="22"/>
  <c r="K20" i="21"/>
  <c r="L20" i="21" s="1"/>
  <c r="M20" i="21"/>
  <c r="K22" i="19"/>
  <c r="L22" i="19" s="1"/>
  <c r="M22" i="19"/>
  <c r="K22" i="18"/>
  <c r="L22" i="18"/>
  <c r="M22" i="18"/>
  <c r="K23" i="4"/>
  <c r="L23" i="4"/>
  <c r="O23" i="4"/>
  <c r="M23" i="4"/>
  <c r="N23" i="4"/>
  <c r="K23" i="3"/>
  <c r="L23" i="3"/>
  <c r="M23" i="3"/>
  <c r="L32" i="29"/>
  <c r="N32" i="29"/>
  <c r="L33" i="29"/>
  <c r="N33" i="29"/>
  <c r="L32" i="28"/>
  <c r="N32" i="28"/>
  <c r="L33" i="28"/>
  <c r="N33" i="28"/>
  <c r="L32" i="27"/>
  <c r="N32" i="27"/>
  <c r="L33" i="27"/>
  <c r="N33" i="27"/>
  <c r="L32" i="26"/>
  <c r="N32" i="26"/>
  <c r="L33" i="26"/>
  <c r="N33" i="26"/>
  <c r="L32" i="24"/>
  <c r="N32" i="24"/>
  <c r="L33" i="24"/>
  <c r="N33" i="24"/>
  <c r="L32" i="25"/>
  <c r="N32" i="25"/>
  <c r="L33" i="25"/>
  <c r="N33" i="25"/>
  <c r="L32" i="23"/>
  <c r="N32" i="23"/>
  <c r="L33" i="23"/>
  <c r="N33" i="23"/>
  <c r="L32" i="22"/>
  <c r="N32" i="22"/>
  <c r="L32" i="21"/>
  <c r="N32" i="21"/>
  <c r="N32" i="20"/>
  <c r="L32" i="20"/>
  <c r="L31" i="19"/>
  <c r="N31" i="19"/>
  <c r="L32" i="19"/>
  <c r="N32" i="19"/>
  <c r="L33" i="19"/>
  <c r="N33" i="19"/>
  <c r="L31" i="18"/>
  <c r="N31" i="18"/>
  <c r="L32" i="18"/>
  <c r="N32" i="18"/>
  <c r="L33" i="18"/>
  <c r="N33" i="18"/>
  <c r="P1" i="31"/>
  <c r="P84" i="31" s="1"/>
  <c r="P1" i="29"/>
  <c r="P84" i="29" s="1"/>
  <c r="P1" i="28"/>
  <c r="P84" i="28" s="1"/>
  <c r="P1" i="27"/>
  <c r="P84" i="27" s="1"/>
  <c r="P1" i="26"/>
  <c r="P84" i="26" s="1"/>
  <c r="P1" i="24"/>
  <c r="P84" i="24" s="1"/>
  <c r="P1" i="25"/>
  <c r="P84" i="25" s="1"/>
  <c r="L105" i="4"/>
  <c r="M105" i="4"/>
  <c r="N105" i="4"/>
  <c r="O105" i="4"/>
  <c r="L104" i="3"/>
  <c r="M104" i="3"/>
  <c r="N23" i="3"/>
  <c r="N32" i="3"/>
  <c r="L32" i="3"/>
  <c r="L31" i="3"/>
  <c r="N31" i="3"/>
  <c r="L33" i="3"/>
  <c r="N33" i="3"/>
  <c r="L34" i="3"/>
  <c r="N34" i="3"/>
  <c r="L35" i="3"/>
  <c r="N35" i="3"/>
  <c r="L36" i="3"/>
  <c r="N36" i="3"/>
  <c r="L37" i="3"/>
  <c r="N37" i="3"/>
  <c r="L38" i="3"/>
  <c r="N38" i="3"/>
  <c r="L39" i="3"/>
  <c r="N39" i="3"/>
  <c r="L40" i="3"/>
  <c r="N40" i="3"/>
  <c r="L41" i="3"/>
  <c r="N41" i="3"/>
  <c r="L42" i="3"/>
  <c r="N42" i="3"/>
  <c r="L43" i="3"/>
  <c r="N43" i="3"/>
  <c r="N43" i="31"/>
  <c r="L43" i="31"/>
  <c r="N42" i="31"/>
  <c r="L42" i="31"/>
  <c r="N41" i="31"/>
  <c r="L41" i="31"/>
  <c r="N33" i="31"/>
  <c r="L33" i="31"/>
  <c r="N32" i="31"/>
  <c r="L32" i="31"/>
  <c r="D95" i="31"/>
  <c r="D94" i="31"/>
  <c r="M100" i="31"/>
  <c r="L17" i="31"/>
  <c r="O155" i="31"/>
  <c r="M155" i="31"/>
  <c r="O154" i="31"/>
  <c r="M154" i="31"/>
  <c r="O153" i="31"/>
  <c r="M153" i="31"/>
  <c r="O152" i="31"/>
  <c r="M152" i="31"/>
  <c r="O151" i="31"/>
  <c r="M151" i="31"/>
  <c r="O150" i="31"/>
  <c r="M150" i="31"/>
  <c r="O149" i="31"/>
  <c r="M149" i="31"/>
  <c r="O148" i="31"/>
  <c r="M148" i="31"/>
  <c r="O147" i="31"/>
  <c r="M147" i="31"/>
  <c r="O146" i="31"/>
  <c r="M146" i="31"/>
  <c r="O145" i="31"/>
  <c r="M145" i="31"/>
  <c r="O144" i="31"/>
  <c r="M144" i="31"/>
  <c r="O143" i="31"/>
  <c r="M143" i="31"/>
  <c r="O142" i="31"/>
  <c r="M142" i="31"/>
  <c r="O141" i="31"/>
  <c r="M141" i="31"/>
  <c r="O140" i="31"/>
  <c r="M140" i="31"/>
  <c r="O139" i="31"/>
  <c r="M139" i="31"/>
  <c r="O138" i="31"/>
  <c r="M138" i="31"/>
  <c r="O137" i="31"/>
  <c r="M137" i="31"/>
  <c r="O136" i="31"/>
  <c r="M136" i="31"/>
  <c r="O135" i="31"/>
  <c r="M135" i="31"/>
  <c r="O134" i="31"/>
  <c r="M134" i="31"/>
  <c r="O133" i="31"/>
  <c r="M133" i="31"/>
  <c r="O132" i="31"/>
  <c r="M132" i="31"/>
  <c r="O131" i="31"/>
  <c r="M131" i="31"/>
  <c r="O130" i="31"/>
  <c r="M130" i="31"/>
  <c r="O129" i="31"/>
  <c r="M129" i="31"/>
  <c r="O128" i="31"/>
  <c r="M128" i="31"/>
  <c r="O127" i="31"/>
  <c r="M127" i="31"/>
  <c r="O126" i="31"/>
  <c r="M126" i="31"/>
  <c r="O125" i="31"/>
  <c r="M125" i="31"/>
  <c r="O124" i="31"/>
  <c r="M124" i="31"/>
  <c r="O123" i="31"/>
  <c r="M123" i="31"/>
  <c r="O122" i="31"/>
  <c r="M122" i="31"/>
  <c r="O121" i="31"/>
  <c r="M121" i="31"/>
  <c r="O120" i="31"/>
  <c r="M120" i="31"/>
  <c r="O119" i="31"/>
  <c r="M119" i="31"/>
  <c r="O118" i="31"/>
  <c r="M118" i="31"/>
  <c r="O117" i="31"/>
  <c r="M117" i="31"/>
  <c r="O116" i="31"/>
  <c r="M116" i="31"/>
  <c r="O115" i="31"/>
  <c r="M115" i="31"/>
  <c r="O114" i="31"/>
  <c r="M114" i="31"/>
  <c r="O113" i="31"/>
  <c r="M113" i="31"/>
  <c r="O112" i="31"/>
  <c r="M112" i="31"/>
  <c r="O111" i="31"/>
  <c r="M111" i="31"/>
  <c r="O110" i="31"/>
  <c r="M110" i="31"/>
  <c r="O109" i="31"/>
  <c r="M109" i="31"/>
  <c r="O108" i="31"/>
  <c r="M108" i="31"/>
  <c r="O107" i="31"/>
  <c r="M107" i="31"/>
  <c r="O106" i="31"/>
  <c r="M106" i="31"/>
  <c r="O105" i="31"/>
  <c r="M105" i="31"/>
  <c r="O104" i="31"/>
  <c r="M104" i="31"/>
  <c r="O103" i="31"/>
  <c r="O102" i="31"/>
  <c r="D97" i="31"/>
  <c r="L94" i="31"/>
  <c r="J94" i="31"/>
  <c r="D90" i="31"/>
  <c r="N73" i="31"/>
  <c r="L73" i="31"/>
  <c r="N72" i="31"/>
  <c r="L72" i="31"/>
  <c r="N71" i="31"/>
  <c r="L71" i="31"/>
  <c r="N70" i="31"/>
  <c r="L70" i="31"/>
  <c r="N69" i="31"/>
  <c r="L69" i="31"/>
  <c r="N68" i="31"/>
  <c r="L68" i="31"/>
  <c r="N67" i="31"/>
  <c r="L67" i="31"/>
  <c r="N66" i="31"/>
  <c r="L66" i="31"/>
  <c r="N65" i="31"/>
  <c r="L65" i="31"/>
  <c r="N64" i="31"/>
  <c r="L64" i="31"/>
  <c r="N63" i="31"/>
  <c r="L63" i="31"/>
  <c r="N62" i="31"/>
  <c r="L62" i="31"/>
  <c r="N61" i="31"/>
  <c r="L61" i="31"/>
  <c r="N60" i="31"/>
  <c r="L60" i="31"/>
  <c r="N59" i="31"/>
  <c r="L59" i="31"/>
  <c r="N58" i="31"/>
  <c r="L58" i="31"/>
  <c r="N57" i="31"/>
  <c r="L57" i="31"/>
  <c r="N56" i="31"/>
  <c r="L56" i="31"/>
  <c r="N55" i="31"/>
  <c r="L55" i="31"/>
  <c r="N54" i="31"/>
  <c r="L54" i="31"/>
  <c r="N53" i="31"/>
  <c r="L53" i="31"/>
  <c r="N52" i="31"/>
  <c r="L52" i="31"/>
  <c r="N51" i="31"/>
  <c r="L51" i="31"/>
  <c r="N50" i="31"/>
  <c r="L50" i="31"/>
  <c r="N49" i="31"/>
  <c r="L49" i="31"/>
  <c r="N48" i="31"/>
  <c r="L48" i="31"/>
  <c r="N47" i="31"/>
  <c r="L47" i="31"/>
  <c r="N46" i="31"/>
  <c r="L46" i="31"/>
  <c r="N45" i="31"/>
  <c r="L45" i="31"/>
  <c r="N44" i="31"/>
  <c r="L44" i="31"/>
  <c r="N40" i="31"/>
  <c r="L40" i="31"/>
  <c r="N39" i="31"/>
  <c r="L39" i="31"/>
  <c r="N38" i="31"/>
  <c r="L38" i="31"/>
  <c r="N37" i="31"/>
  <c r="L37" i="31"/>
  <c r="N36" i="31"/>
  <c r="L36" i="31"/>
  <c r="N35" i="31"/>
  <c r="L35" i="31"/>
  <c r="N34" i="31"/>
  <c r="L34" i="31"/>
  <c r="N31" i="31"/>
  <c r="L31" i="31"/>
  <c r="N30" i="31"/>
  <c r="L30" i="31"/>
  <c r="N29" i="31"/>
  <c r="L29" i="31"/>
  <c r="N28" i="31"/>
  <c r="L28" i="31"/>
  <c r="N27" i="31"/>
  <c r="L27" i="31"/>
  <c r="N26" i="31"/>
  <c r="L26" i="31"/>
  <c r="N25" i="31"/>
  <c r="L25" i="31"/>
  <c r="N24" i="31"/>
  <c r="L24" i="31"/>
  <c r="N23" i="31"/>
  <c r="L23" i="31"/>
  <c r="N22" i="31"/>
  <c r="L22" i="31"/>
  <c r="N21" i="31"/>
  <c r="N20" i="31"/>
  <c r="N17" i="31"/>
  <c r="O17" i="31"/>
  <c r="C17" i="31"/>
  <c r="C18" i="31" s="1"/>
  <c r="C19" i="31" s="1"/>
  <c r="C20" i="31" s="1"/>
  <c r="C21" i="31" s="1"/>
  <c r="C22" i="31" s="1"/>
  <c r="C23" i="31" s="1"/>
  <c r="C24" i="31" s="1"/>
  <c r="C25" i="31" s="1"/>
  <c r="C26" i="31" s="1"/>
  <c r="C27" i="31" s="1"/>
  <c r="C28" i="31" s="1"/>
  <c r="C29" i="31" s="1"/>
  <c r="C30" i="31" s="1"/>
  <c r="C31" i="31" s="1"/>
  <c r="C32" i="31" s="1"/>
  <c r="B17" i="31"/>
  <c r="K11" i="31"/>
  <c r="D8" i="31"/>
  <c r="D91" i="31" s="1"/>
  <c r="H3" i="31"/>
  <c r="P1" i="23"/>
  <c r="P84" i="23" s="1"/>
  <c r="P1" i="22"/>
  <c r="P84" i="22" s="1"/>
  <c r="F90" i="2"/>
  <c r="F87" i="1"/>
  <c r="D10" i="19"/>
  <c r="D93" i="19"/>
  <c r="W31" i="17"/>
  <c r="P155" i="29"/>
  <c r="O155" i="29"/>
  <c r="M155" i="29"/>
  <c r="J155" i="29"/>
  <c r="P154" i="29"/>
  <c r="O154" i="29"/>
  <c r="M154" i="29"/>
  <c r="J154" i="29"/>
  <c r="P153" i="29"/>
  <c r="O153" i="29"/>
  <c r="M153" i="29"/>
  <c r="J153" i="29"/>
  <c r="P152" i="29"/>
  <c r="O152" i="29"/>
  <c r="M152" i="29"/>
  <c r="J152" i="29"/>
  <c r="P151" i="29"/>
  <c r="O151" i="29"/>
  <c r="M151" i="29"/>
  <c r="J151" i="29"/>
  <c r="P150" i="29"/>
  <c r="O150" i="29"/>
  <c r="M150" i="29"/>
  <c r="J150" i="29"/>
  <c r="P149" i="29"/>
  <c r="O149" i="29"/>
  <c r="M149" i="29"/>
  <c r="J149" i="29"/>
  <c r="P148" i="29"/>
  <c r="O148" i="29"/>
  <c r="M148" i="29"/>
  <c r="J148" i="29"/>
  <c r="P147" i="29"/>
  <c r="O147" i="29"/>
  <c r="M147" i="29"/>
  <c r="J147" i="29"/>
  <c r="P146" i="29"/>
  <c r="O146" i="29"/>
  <c r="M146" i="29"/>
  <c r="J146" i="29"/>
  <c r="P145" i="29"/>
  <c r="O145" i="29"/>
  <c r="M145" i="29"/>
  <c r="J145" i="29"/>
  <c r="P144" i="29"/>
  <c r="O144" i="29"/>
  <c r="M144" i="29"/>
  <c r="J144" i="29"/>
  <c r="P143" i="29"/>
  <c r="O143" i="29"/>
  <c r="M143" i="29"/>
  <c r="J143" i="29"/>
  <c r="P142" i="29"/>
  <c r="O142" i="29"/>
  <c r="M142" i="29"/>
  <c r="J142" i="29"/>
  <c r="P141" i="29"/>
  <c r="O141" i="29"/>
  <c r="M141" i="29"/>
  <c r="J141" i="29"/>
  <c r="P140" i="29"/>
  <c r="O140" i="29"/>
  <c r="M140" i="29"/>
  <c r="J140" i="29"/>
  <c r="P139" i="29"/>
  <c r="O139" i="29"/>
  <c r="M139" i="29"/>
  <c r="J139" i="29"/>
  <c r="P138" i="29"/>
  <c r="O138" i="29"/>
  <c r="M138" i="29"/>
  <c r="J138" i="29"/>
  <c r="P137" i="29"/>
  <c r="O137" i="29"/>
  <c r="M137" i="29"/>
  <c r="J137" i="29"/>
  <c r="P136" i="29"/>
  <c r="O136" i="29"/>
  <c r="M136" i="29"/>
  <c r="J136" i="29"/>
  <c r="P135" i="29"/>
  <c r="O135" i="29"/>
  <c r="M135" i="29"/>
  <c r="J135" i="29"/>
  <c r="P134" i="29"/>
  <c r="O134" i="29"/>
  <c r="M134" i="29"/>
  <c r="J134" i="29"/>
  <c r="P133" i="29"/>
  <c r="O133" i="29"/>
  <c r="M133" i="29"/>
  <c r="J133" i="29"/>
  <c r="P132" i="29"/>
  <c r="O132" i="29"/>
  <c r="M132" i="29"/>
  <c r="J132" i="29"/>
  <c r="O131" i="29"/>
  <c r="M131" i="29"/>
  <c r="O130" i="29"/>
  <c r="M130" i="29"/>
  <c r="O129" i="29"/>
  <c r="M129" i="29"/>
  <c r="O128" i="29"/>
  <c r="M128" i="29"/>
  <c r="O127" i="29"/>
  <c r="M127" i="29"/>
  <c r="O126" i="29"/>
  <c r="M126" i="29"/>
  <c r="O125" i="29"/>
  <c r="M125" i="29"/>
  <c r="O124" i="29"/>
  <c r="M124" i="29"/>
  <c r="O123" i="29"/>
  <c r="M123" i="29"/>
  <c r="O122" i="29"/>
  <c r="M122" i="29"/>
  <c r="O121" i="29"/>
  <c r="M121" i="29"/>
  <c r="O120" i="29"/>
  <c r="M120" i="29"/>
  <c r="O119" i="29"/>
  <c r="M119" i="29"/>
  <c r="O118" i="29"/>
  <c r="M118" i="29"/>
  <c r="O117" i="29"/>
  <c r="M117" i="29"/>
  <c r="O116" i="29"/>
  <c r="M116" i="29"/>
  <c r="O115" i="29"/>
  <c r="M115" i="29"/>
  <c r="O114" i="29"/>
  <c r="M114" i="29"/>
  <c r="O113" i="29"/>
  <c r="M113" i="29"/>
  <c r="O112" i="29"/>
  <c r="M112" i="29"/>
  <c r="O111" i="29"/>
  <c r="M111" i="29"/>
  <c r="O110" i="29"/>
  <c r="M110" i="29"/>
  <c r="O109" i="29"/>
  <c r="M109" i="29"/>
  <c r="O108" i="29"/>
  <c r="M108" i="29"/>
  <c r="O107" i="29"/>
  <c r="M107" i="29"/>
  <c r="O106" i="29"/>
  <c r="M106" i="29"/>
  <c r="O105" i="29"/>
  <c r="M105" i="29"/>
  <c r="O104" i="29"/>
  <c r="M104" i="29"/>
  <c r="O103" i="29"/>
  <c r="O102" i="29"/>
  <c r="O100" i="29"/>
  <c r="D97" i="29"/>
  <c r="L94" i="29"/>
  <c r="J94" i="29"/>
  <c r="D92" i="29"/>
  <c r="D90" i="29"/>
  <c r="N73" i="29"/>
  <c r="L73" i="29"/>
  <c r="N72" i="29"/>
  <c r="L72" i="29"/>
  <c r="N71" i="29"/>
  <c r="L71" i="29"/>
  <c r="N70" i="29"/>
  <c r="L70" i="29"/>
  <c r="N69" i="29"/>
  <c r="L69" i="29"/>
  <c r="N68" i="29"/>
  <c r="L68" i="29"/>
  <c r="N67" i="29"/>
  <c r="L67" i="29"/>
  <c r="N66" i="29"/>
  <c r="L66" i="29"/>
  <c r="N65" i="29"/>
  <c r="L65" i="29"/>
  <c r="N64" i="29"/>
  <c r="L64" i="29"/>
  <c r="N63" i="29"/>
  <c r="L63" i="29"/>
  <c r="N62" i="29"/>
  <c r="L62" i="29"/>
  <c r="N61" i="29"/>
  <c r="L61" i="29"/>
  <c r="N60" i="29"/>
  <c r="L60" i="29"/>
  <c r="N59" i="29"/>
  <c r="L59" i="29"/>
  <c r="N58" i="29"/>
  <c r="L58" i="29"/>
  <c r="N57" i="29"/>
  <c r="L57" i="29"/>
  <c r="N56" i="29"/>
  <c r="L56" i="29"/>
  <c r="N55" i="29"/>
  <c r="L55" i="29"/>
  <c r="N54" i="29"/>
  <c r="L54" i="29"/>
  <c r="N53" i="29"/>
  <c r="L53" i="29"/>
  <c r="N52" i="29"/>
  <c r="L52" i="29"/>
  <c r="N51" i="29"/>
  <c r="L51" i="29"/>
  <c r="N50" i="29"/>
  <c r="L50" i="29"/>
  <c r="N49" i="29"/>
  <c r="L49" i="29"/>
  <c r="N48" i="29"/>
  <c r="L48" i="29"/>
  <c r="N47" i="29"/>
  <c r="L47" i="29"/>
  <c r="N46" i="29"/>
  <c r="L46" i="29"/>
  <c r="N45" i="29"/>
  <c r="L45" i="29"/>
  <c r="N44" i="29"/>
  <c r="L44" i="29"/>
  <c r="N43" i="29"/>
  <c r="L43" i="29"/>
  <c r="N42" i="29"/>
  <c r="L42" i="29"/>
  <c r="N41" i="29"/>
  <c r="L41" i="29"/>
  <c r="N40" i="29"/>
  <c r="L40" i="29"/>
  <c r="N39" i="29"/>
  <c r="L39" i="29"/>
  <c r="N38" i="29"/>
  <c r="L38" i="29"/>
  <c r="N37" i="29"/>
  <c r="L37" i="29"/>
  <c r="N36" i="29"/>
  <c r="L36" i="29"/>
  <c r="N35" i="29"/>
  <c r="L35" i="29"/>
  <c r="N34" i="29"/>
  <c r="L34" i="29"/>
  <c r="N31" i="29"/>
  <c r="L31" i="29"/>
  <c r="N30" i="29"/>
  <c r="L30" i="29"/>
  <c r="N29" i="29"/>
  <c r="L29" i="29"/>
  <c r="N28" i="29"/>
  <c r="L28" i="29"/>
  <c r="N27" i="29"/>
  <c r="L27" i="29"/>
  <c r="N26" i="29"/>
  <c r="L26" i="29"/>
  <c r="N25" i="29"/>
  <c r="L25" i="29"/>
  <c r="N24" i="29"/>
  <c r="L24" i="29"/>
  <c r="N23" i="29"/>
  <c r="L23" i="29"/>
  <c r="N22" i="29"/>
  <c r="N21" i="29"/>
  <c r="N17" i="29"/>
  <c r="C17" i="29"/>
  <c r="C18" i="29"/>
  <c r="C19" i="29" s="1"/>
  <c r="C20" i="29" s="1"/>
  <c r="C21" i="29" s="1"/>
  <c r="C22" i="29" s="1"/>
  <c r="C23" i="29" s="1"/>
  <c r="C24" i="29"/>
  <c r="C25" i="29" s="1"/>
  <c r="C26" i="29" s="1"/>
  <c r="C27" i="29" s="1"/>
  <c r="C28" i="29" s="1"/>
  <c r="C29" i="29" s="1"/>
  <c r="C30" i="29" s="1"/>
  <c r="C31" i="29" s="1"/>
  <c r="C32" i="29" s="1"/>
  <c r="K11" i="29"/>
  <c r="I11" i="29"/>
  <c r="D8" i="29"/>
  <c r="D91" i="29" s="1"/>
  <c r="B100" i="22"/>
  <c r="B18" i="22"/>
  <c r="B17" i="22"/>
  <c r="B102" i="28"/>
  <c r="B20" i="28"/>
  <c r="B19" i="28"/>
  <c r="B18" i="28"/>
  <c r="B17" i="28"/>
  <c r="D95" i="28"/>
  <c r="D94" i="28"/>
  <c r="M19" i="28"/>
  <c r="N19" i="28"/>
  <c r="O19" i="28" s="1"/>
  <c r="K19" i="28"/>
  <c r="L19" i="28"/>
  <c r="D95" i="27"/>
  <c r="C100" i="27"/>
  <c r="C101" i="27" s="1"/>
  <c r="C102" i="27" s="1"/>
  <c r="C103" i="27" s="1"/>
  <c r="C104" i="27" s="1"/>
  <c r="C105" i="27" s="1"/>
  <c r="C106" i="27" s="1"/>
  <c r="C107" i="27" s="1"/>
  <c r="C108" i="27" s="1"/>
  <c r="C109" i="27" s="1"/>
  <c r="C110" i="27" s="1"/>
  <c r="C111" i="27" s="1"/>
  <c r="C112" i="27" s="1"/>
  <c r="C113" i="27" s="1"/>
  <c r="C114" i="27" s="1"/>
  <c r="C115" i="27" s="1"/>
  <c r="C116" i="27" s="1"/>
  <c r="C117" i="27" s="1"/>
  <c r="C118" i="27" s="1"/>
  <c r="C119" i="27" s="1"/>
  <c r="C120" i="27" s="1"/>
  <c r="C121" i="27" s="1"/>
  <c r="C122" i="27" s="1"/>
  <c r="C123" i="27" s="1"/>
  <c r="C124" i="27" s="1"/>
  <c r="C125" i="27" s="1"/>
  <c r="C126" i="27" s="1"/>
  <c r="C127" i="27" s="1"/>
  <c r="C128" i="27" s="1"/>
  <c r="C129" i="27" s="1"/>
  <c r="C130" i="27" s="1"/>
  <c r="C131" i="27" s="1"/>
  <c r="C132" i="27" s="1"/>
  <c r="C133" i="27" s="1"/>
  <c r="C134" i="27" s="1"/>
  <c r="C135" i="27" s="1"/>
  <c r="C136" i="27" s="1"/>
  <c r="C137" i="27" s="1"/>
  <c r="C138" i="27" s="1"/>
  <c r="C139" i="27" s="1"/>
  <c r="C140" i="27" s="1"/>
  <c r="C141" i="27" s="1"/>
  <c r="C142" i="27" s="1"/>
  <c r="C143" i="27" s="1"/>
  <c r="C144" i="27" s="1"/>
  <c r="C145" i="27" s="1"/>
  <c r="C146" i="27" s="1"/>
  <c r="C147" i="27" s="1"/>
  <c r="C148" i="27" s="1"/>
  <c r="C149" i="27" s="1"/>
  <c r="C150" i="27" s="1"/>
  <c r="C151" i="27" s="1"/>
  <c r="C152" i="27" s="1"/>
  <c r="C153" i="27" s="1"/>
  <c r="C154" i="27" s="1"/>
  <c r="C155" i="27" s="1"/>
  <c r="B20" i="27"/>
  <c r="B19" i="27"/>
  <c r="B18" i="27"/>
  <c r="B17" i="27"/>
  <c r="M19" i="27"/>
  <c r="N19" i="27" s="1"/>
  <c r="K19" i="27"/>
  <c r="L19" i="27" s="1"/>
  <c r="M18" i="27"/>
  <c r="N18" i="27" s="1"/>
  <c r="K18" i="27"/>
  <c r="L18" i="27" s="1"/>
  <c r="B101" i="26"/>
  <c r="D95" i="26"/>
  <c r="D94" i="26"/>
  <c r="B18" i="26"/>
  <c r="B17" i="26"/>
  <c r="B20" i="24"/>
  <c r="B19" i="24"/>
  <c r="B18" i="24"/>
  <c r="B17" i="24"/>
  <c r="B19" i="26"/>
  <c r="M18" i="26"/>
  <c r="N18" i="26"/>
  <c r="O18" i="26"/>
  <c r="K18" i="26"/>
  <c r="L18" i="26"/>
  <c r="D95" i="24"/>
  <c r="D94" i="24"/>
  <c r="M19" i="24"/>
  <c r="N19" i="24" s="1"/>
  <c r="K19" i="24"/>
  <c r="L19" i="24"/>
  <c r="B17" i="25"/>
  <c r="B19" i="23"/>
  <c r="B18" i="23"/>
  <c r="B17" i="23"/>
  <c r="B18" i="25"/>
  <c r="M17" i="25"/>
  <c r="N17" i="25" s="1"/>
  <c r="K17" i="25"/>
  <c r="L17" i="25" s="1"/>
  <c r="N100" i="23"/>
  <c r="O100" i="23"/>
  <c r="P100" i="23" s="1"/>
  <c r="M100" i="23"/>
  <c r="L100" i="23"/>
  <c r="M18" i="23"/>
  <c r="N18" i="23"/>
  <c r="O18" i="23" s="1"/>
  <c r="L18" i="23"/>
  <c r="K18" i="23"/>
  <c r="B101" i="22"/>
  <c r="N100" i="22"/>
  <c r="O100" i="22" s="1"/>
  <c r="L100" i="22"/>
  <c r="M100" i="22"/>
  <c r="B102" i="27"/>
  <c r="B19" i="22"/>
  <c r="M18" i="22"/>
  <c r="N18" i="22" s="1"/>
  <c r="O18" i="22" s="1"/>
  <c r="K18" i="22"/>
  <c r="L18" i="22"/>
  <c r="M19" i="21"/>
  <c r="N19" i="21" s="1"/>
  <c r="K19" i="21"/>
  <c r="L19" i="21"/>
  <c r="N103" i="19"/>
  <c r="O103" i="19" s="1"/>
  <c r="L103" i="19"/>
  <c r="M103" i="19" s="1"/>
  <c r="M21" i="19"/>
  <c r="N21" i="19"/>
  <c r="O21" i="19"/>
  <c r="L21" i="19"/>
  <c r="K21" i="19"/>
  <c r="N103" i="18"/>
  <c r="O103" i="18"/>
  <c r="P103" i="18"/>
  <c r="L103" i="18"/>
  <c r="M103" i="18"/>
  <c r="M21" i="18"/>
  <c r="N21" i="18" s="1"/>
  <c r="O21" i="18" s="1"/>
  <c r="K21" i="18"/>
  <c r="L21" i="18"/>
  <c r="N104" i="4"/>
  <c r="O104" i="4" s="1"/>
  <c r="P104" i="4" s="1"/>
  <c r="L104" i="4"/>
  <c r="M104" i="4" s="1"/>
  <c r="M22" i="4"/>
  <c r="N22" i="4" s="1"/>
  <c r="O22" i="4" s="1"/>
  <c r="L22" i="4"/>
  <c r="K22" i="4"/>
  <c r="N104" i="3"/>
  <c r="O104" i="3" s="1"/>
  <c r="P104" i="3" s="1"/>
  <c r="M22" i="3"/>
  <c r="N22" i="3" s="1"/>
  <c r="O22" i="3" s="1"/>
  <c r="K22" i="3"/>
  <c r="L22" i="3" s="1"/>
  <c r="W30" i="17"/>
  <c r="W29" i="17"/>
  <c r="M18" i="28"/>
  <c r="N18" i="28"/>
  <c r="K18" i="28"/>
  <c r="L18" i="28" s="1"/>
  <c r="P155" i="28"/>
  <c r="O155" i="28"/>
  <c r="M155" i="28"/>
  <c r="P154" i="28"/>
  <c r="O154" i="28"/>
  <c r="M154" i="28"/>
  <c r="P153" i="28"/>
  <c r="O153" i="28"/>
  <c r="M153" i="28"/>
  <c r="P152" i="28"/>
  <c r="O152" i="28"/>
  <c r="M152" i="28"/>
  <c r="P151" i="28"/>
  <c r="O151" i="28"/>
  <c r="M151" i="28"/>
  <c r="P150" i="28"/>
  <c r="O150" i="28"/>
  <c r="M150" i="28"/>
  <c r="P149" i="28"/>
  <c r="O149" i="28"/>
  <c r="M149" i="28"/>
  <c r="P148" i="28"/>
  <c r="O148" i="28"/>
  <c r="M148" i="28"/>
  <c r="P147" i="28"/>
  <c r="O147" i="28"/>
  <c r="M147" i="28"/>
  <c r="P146" i="28"/>
  <c r="O146" i="28"/>
  <c r="M146" i="28"/>
  <c r="P145" i="28"/>
  <c r="O145" i="28"/>
  <c r="M145" i="28"/>
  <c r="P144" i="28"/>
  <c r="O144" i="28"/>
  <c r="M144" i="28"/>
  <c r="P143" i="28"/>
  <c r="O143" i="28"/>
  <c r="M143" i="28"/>
  <c r="P142" i="28"/>
  <c r="O142" i="28"/>
  <c r="M142" i="28"/>
  <c r="P141" i="28"/>
  <c r="O141" i="28"/>
  <c r="M141" i="28"/>
  <c r="P140" i="28"/>
  <c r="O140" i="28"/>
  <c r="M140" i="28"/>
  <c r="P139" i="28"/>
  <c r="O139" i="28"/>
  <c r="M139" i="28"/>
  <c r="P138" i="28"/>
  <c r="O138" i="28"/>
  <c r="M138" i="28"/>
  <c r="P137" i="28"/>
  <c r="O137" i="28"/>
  <c r="M137" i="28"/>
  <c r="P136" i="28"/>
  <c r="O136" i="28"/>
  <c r="M136" i="28"/>
  <c r="P135" i="28"/>
  <c r="O135" i="28"/>
  <c r="M135" i="28"/>
  <c r="P134" i="28"/>
  <c r="O134" i="28"/>
  <c r="M134" i="28"/>
  <c r="P133" i="28"/>
  <c r="O133" i="28"/>
  <c r="M133" i="28"/>
  <c r="P132" i="28"/>
  <c r="O132" i="28"/>
  <c r="M132" i="28"/>
  <c r="O131" i="28"/>
  <c r="M131" i="28"/>
  <c r="O130" i="28"/>
  <c r="M130" i="28"/>
  <c r="O129" i="28"/>
  <c r="M129" i="28"/>
  <c r="O128" i="28"/>
  <c r="M128" i="28"/>
  <c r="O127" i="28"/>
  <c r="M127" i="28"/>
  <c r="O126" i="28"/>
  <c r="M126" i="28"/>
  <c r="O125" i="28"/>
  <c r="M125" i="28"/>
  <c r="O124" i="28"/>
  <c r="M124" i="28"/>
  <c r="O123" i="28"/>
  <c r="M123" i="28"/>
  <c r="O122" i="28"/>
  <c r="M122" i="28"/>
  <c r="O121" i="28"/>
  <c r="M121" i="28"/>
  <c r="O120" i="28"/>
  <c r="M120" i="28"/>
  <c r="O119" i="28"/>
  <c r="M119" i="28"/>
  <c r="O118" i="28"/>
  <c r="M118" i="28"/>
  <c r="O117" i="28"/>
  <c r="M117" i="28"/>
  <c r="O116" i="28"/>
  <c r="M116" i="28"/>
  <c r="O115" i="28"/>
  <c r="M115" i="28"/>
  <c r="O114" i="28"/>
  <c r="M114" i="28"/>
  <c r="O113" i="28"/>
  <c r="M113" i="28"/>
  <c r="O112" i="28"/>
  <c r="M112" i="28"/>
  <c r="O111" i="28"/>
  <c r="M111" i="28"/>
  <c r="O110" i="28"/>
  <c r="M110" i="28"/>
  <c r="O109" i="28"/>
  <c r="M109" i="28"/>
  <c r="O108" i="28"/>
  <c r="M108" i="28"/>
  <c r="O107" i="28"/>
  <c r="M107" i="28"/>
  <c r="O106" i="28"/>
  <c r="M106" i="28"/>
  <c r="O102" i="28"/>
  <c r="P102" i="28"/>
  <c r="O101" i="28"/>
  <c r="P101" i="28" s="1"/>
  <c r="M101" i="28"/>
  <c r="O100" i="28"/>
  <c r="M100" i="28"/>
  <c r="C100" i="28"/>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D97" i="28"/>
  <c r="L94" i="28"/>
  <c r="J94" i="28"/>
  <c r="D92" i="28"/>
  <c r="D91" i="28"/>
  <c r="D90" i="28"/>
  <c r="N73" i="28"/>
  <c r="L73" i="28"/>
  <c r="N72" i="28"/>
  <c r="L72" i="28"/>
  <c r="N71" i="28"/>
  <c r="L71" i="28"/>
  <c r="N70" i="28"/>
  <c r="L70" i="28"/>
  <c r="N69" i="28"/>
  <c r="L69" i="28"/>
  <c r="N68" i="28"/>
  <c r="L68" i="28"/>
  <c r="N67" i="28"/>
  <c r="L67" i="28"/>
  <c r="N66" i="28"/>
  <c r="L66" i="28"/>
  <c r="N65" i="28"/>
  <c r="L65" i="28"/>
  <c r="N64" i="28"/>
  <c r="L64" i="28"/>
  <c r="N63" i="28"/>
  <c r="L63" i="28"/>
  <c r="N62" i="28"/>
  <c r="L62" i="28"/>
  <c r="N61" i="28"/>
  <c r="L61" i="28"/>
  <c r="N60" i="28"/>
  <c r="L60" i="28"/>
  <c r="N59" i="28"/>
  <c r="L59" i="28"/>
  <c r="N58" i="28"/>
  <c r="L58" i="28"/>
  <c r="N57" i="28"/>
  <c r="L57" i="28"/>
  <c r="N56" i="28"/>
  <c r="L56" i="28"/>
  <c r="N55" i="28"/>
  <c r="L55" i="28"/>
  <c r="N54" i="28"/>
  <c r="L54" i="28"/>
  <c r="N53" i="28"/>
  <c r="L53" i="28"/>
  <c r="N52" i="28"/>
  <c r="L52" i="28"/>
  <c r="N51" i="28"/>
  <c r="L51" i="28"/>
  <c r="N50" i="28"/>
  <c r="L50" i="28"/>
  <c r="N49" i="28"/>
  <c r="L49" i="28"/>
  <c r="N48" i="28"/>
  <c r="L48" i="28"/>
  <c r="N47" i="28"/>
  <c r="L47" i="28"/>
  <c r="N46" i="28"/>
  <c r="L46" i="28"/>
  <c r="N45" i="28"/>
  <c r="L45" i="28"/>
  <c r="N44" i="28"/>
  <c r="L44" i="28"/>
  <c r="N43" i="28"/>
  <c r="L43" i="28"/>
  <c r="N42" i="28"/>
  <c r="L42" i="28"/>
  <c r="N41" i="28"/>
  <c r="L41" i="28"/>
  <c r="N40" i="28"/>
  <c r="L40" i="28"/>
  <c r="N39" i="28"/>
  <c r="L39" i="28"/>
  <c r="N38" i="28"/>
  <c r="L38" i="28"/>
  <c r="N37" i="28"/>
  <c r="L37" i="28"/>
  <c r="N36" i="28"/>
  <c r="L36" i="28"/>
  <c r="N35" i="28"/>
  <c r="L35" i="28"/>
  <c r="N34" i="28"/>
  <c r="L34" i="28"/>
  <c r="N31" i="28"/>
  <c r="L31" i="28"/>
  <c r="N30" i="28"/>
  <c r="L30" i="28"/>
  <c r="N29" i="28"/>
  <c r="L29" i="28"/>
  <c r="N28" i="28"/>
  <c r="L28" i="28"/>
  <c r="N27" i="28"/>
  <c r="L27" i="28"/>
  <c r="N26" i="28"/>
  <c r="L26" i="28"/>
  <c r="N25" i="28"/>
  <c r="L25" i="28"/>
  <c r="N24" i="28"/>
  <c r="L24" i="28"/>
  <c r="N23" i="28"/>
  <c r="L23" i="28"/>
  <c r="N20" i="28"/>
  <c r="C17" i="28"/>
  <c r="C18" i="28"/>
  <c r="C19" i="28"/>
  <c r="C20" i="28"/>
  <c r="C21" i="28" s="1"/>
  <c r="C22" i="28" s="1"/>
  <c r="C23" i="28" s="1"/>
  <c r="C24" i="28" s="1"/>
  <c r="C25" i="28" s="1"/>
  <c r="C26" i="28" s="1"/>
  <c r="C27" i="28" s="1"/>
  <c r="C28" i="28" s="1"/>
  <c r="C29" i="28" s="1"/>
  <c r="C30" i="28" s="1"/>
  <c r="C31" i="28" s="1"/>
  <c r="C32" i="28" s="1"/>
  <c r="K11" i="28"/>
  <c r="I11" i="28"/>
  <c r="M17" i="27"/>
  <c r="N17" i="27" s="1"/>
  <c r="K17" i="27"/>
  <c r="L17" i="27" s="1"/>
  <c r="M17" i="26"/>
  <c r="N17" i="26" s="1"/>
  <c r="K17" i="26"/>
  <c r="L17" i="26"/>
  <c r="M18" i="24"/>
  <c r="N18" i="24" s="1"/>
  <c r="O18" i="24" s="1"/>
  <c r="K18" i="24"/>
  <c r="L18" i="24" s="1"/>
  <c r="M17" i="24"/>
  <c r="N17" i="24" s="1"/>
  <c r="O17" i="24" s="1"/>
  <c r="K17" i="24"/>
  <c r="L17" i="24"/>
  <c r="N102" i="18"/>
  <c r="O102" i="18"/>
  <c r="L102" i="18"/>
  <c r="M102" i="18" s="1"/>
  <c r="P102" i="18" s="1"/>
  <c r="W26" i="17"/>
  <c r="W27" i="17"/>
  <c r="W28" i="17"/>
  <c r="P155" i="27"/>
  <c r="O155" i="27"/>
  <c r="M155" i="27"/>
  <c r="P154" i="27"/>
  <c r="O154" i="27"/>
  <c r="M154" i="27"/>
  <c r="P153" i="27"/>
  <c r="O153" i="27"/>
  <c r="M153" i="27"/>
  <c r="P152" i="27"/>
  <c r="O152" i="27"/>
  <c r="M152" i="27"/>
  <c r="P151" i="27"/>
  <c r="O151" i="27"/>
  <c r="M151" i="27"/>
  <c r="P150" i="27"/>
  <c r="O150" i="27"/>
  <c r="M150" i="27"/>
  <c r="P149" i="27"/>
  <c r="O149" i="27"/>
  <c r="M149" i="27"/>
  <c r="P148" i="27"/>
  <c r="O148" i="27"/>
  <c r="M148" i="27"/>
  <c r="P147" i="27"/>
  <c r="O147" i="27"/>
  <c r="M147" i="27"/>
  <c r="P146" i="27"/>
  <c r="O146" i="27"/>
  <c r="M146" i="27"/>
  <c r="P145" i="27"/>
  <c r="O145" i="27"/>
  <c r="M145" i="27"/>
  <c r="P144" i="27"/>
  <c r="O144" i="27"/>
  <c r="M144" i="27"/>
  <c r="P143" i="27"/>
  <c r="O143" i="27"/>
  <c r="M143" i="27"/>
  <c r="P142" i="27"/>
  <c r="O142" i="27"/>
  <c r="M142" i="27"/>
  <c r="P141" i="27"/>
  <c r="O141" i="27"/>
  <c r="M141" i="27"/>
  <c r="P140" i="27"/>
  <c r="O140" i="27"/>
  <c r="M140" i="27"/>
  <c r="P139" i="27"/>
  <c r="O139" i="27"/>
  <c r="M139" i="27"/>
  <c r="P138" i="27"/>
  <c r="O138" i="27"/>
  <c r="M138" i="27"/>
  <c r="P137" i="27"/>
  <c r="O137" i="27"/>
  <c r="M137" i="27"/>
  <c r="P136" i="27"/>
  <c r="O136" i="27"/>
  <c r="M136" i="27"/>
  <c r="P135" i="27"/>
  <c r="O135" i="27"/>
  <c r="M135" i="27"/>
  <c r="P134" i="27"/>
  <c r="O134" i="27"/>
  <c r="M134" i="27"/>
  <c r="P133" i="27"/>
  <c r="O133" i="27"/>
  <c r="M133" i="27"/>
  <c r="P132" i="27"/>
  <c r="O132" i="27"/>
  <c r="M132" i="27"/>
  <c r="O131" i="27"/>
  <c r="M131" i="27"/>
  <c r="O130" i="27"/>
  <c r="M130" i="27"/>
  <c r="O129" i="27"/>
  <c r="M129" i="27"/>
  <c r="O128" i="27"/>
  <c r="M128" i="27"/>
  <c r="O127" i="27"/>
  <c r="M127" i="27"/>
  <c r="O126" i="27"/>
  <c r="M126" i="27"/>
  <c r="O125" i="27"/>
  <c r="M125" i="27"/>
  <c r="O124" i="27"/>
  <c r="M124" i="27"/>
  <c r="O123" i="27"/>
  <c r="M123" i="27"/>
  <c r="O122" i="27"/>
  <c r="M122" i="27"/>
  <c r="O121" i="27"/>
  <c r="M121" i="27"/>
  <c r="O120" i="27"/>
  <c r="M120" i="27"/>
  <c r="O119" i="27"/>
  <c r="M119" i="27"/>
  <c r="O118" i="27"/>
  <c r="M118" i="27"/>
  <c r="O117" i="27"/>
  <c r="M117" i="27"/>
  <c r="O116" i="27"/>
  <c r="M116" i="27"/>
  <c r="O115" i="27"/>
  <c r="M115" i="27"/>
  <c r="O114" i="27"/>
  <c r="M114" i="27"/>
  <c r="O113" i="27"/>
  <c r="M113" i="27"/>
  <c r="O112" i="27"/>
  <c r="M112" i="27"/>
  <c r="O111" i="27"/>
  <c r="M111" i="27"/>
  <c r="O110" i="27"/>
  <c r="M110" i="27"/>
  <c r="O109" i="27"/>
  <c r="M109" i="27"/>
  <c r="O108" i="27"/>
  <c r="M108" i="27"/>
  <c r="O107" i="27"/>
  <c r="M107" i="27"/>
  <c r="O106" i="27"/>
  <c r="O102" i="27"/>
  <c r="O101" i="27"/>
  <c r="M101" i="27"/>
  <c r="O100" i="27"/>
  <c r="M100" i="27"/>
  <c r="P100" i="27" s="1"/>
  <c r="D97" i="27"/>
  <c r="L94" i="27"/>
  <c r="J94" i="27"/>
  <c r="D92" i="27"/>
  <c r="D90"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L46" i="27"/>
  <c r="N45" i="27"/>
  <c r="L45" i="27"/>
  <c r="N44" i="27"/>
  <c r="L44" i="27"/>
  <c r="N43" i="27"/>
  <c r="L43" i="27"/>
  <c r="N42" i="27"/>
  <c r="L42" i="27"/>
  <c r="N41" i="27"/>
  <c r="L41" i="27"/>
  <c r="N40" i="27"/>
  <c r="L40" i="27"/>
  <c r="N39" i="27"/>
  <c r="L39" i="27"/>
  <c r="N38" i="27"/>
  <c r="L38" i="27"/>
  <c r="N37" i="27"/>
  <c r="L37" i="27"/>
  <c r="N36" i="27"/>
  <c r="L36" i="27"/>
  <c r="N35" i="27"/>
  <c r="L35" i="27"/>
  <c r="N34" i="27"/>
  <c r="L34" i="27"/>
  <c r="N31" i="27"/>
  <c r="L31" i="27"/>
  <c r="N30" i="27"/>
  <c r="L30" i="27"/>
  <c r="N29" i="27"/>
  <c r="L29" i="27"/>
  <c r="N28" i="27"/>
  <c r="L28" i="27"/>
  <c r="N27" i="27"/>
  <c r="L27" i="27"/>
  <c r="N26" i="27"/>
  <c r="L26" i="27"/>
  <c r="N25" i="27"/>
  <c r="N24" i="27"/>
  <c r="N20" i="27"/>
  <c r="C17" i="27"/>
  <c r="C18" i="27" s="1"/>
  <c r="C19" i="27" s="1"/>
  <c r="C20" i="27" s="1"/>
  <c r="C21" i="27" s="1"/>
  <c r="C22" i="27" s="1"/>
  <c r="C23" i="27" s="1"/>
  <c r="C24" i="27" s="1"/>
  <c r="C25" i="27" s="1"/>
  <c r="C26" i="27" s="1"/>
  <c r="C27" i="27" s="1"/>
  <c r="C28" i="27" s="1"/>
  <c r="C29" i="27" s="1"/>
  <c r="C30" i="27" s="1"/>
  <c r="C31" i="27" s="1"/>
  <c r="C32" i="27" s="1"/>
  <c r="K11" i="27"/>
  <c r="I11" i="27"/>
  <c r="D91" i="27"/>
  <c r="P155" i="26"/>
  <c r="O155" i="26"/>
  <c r="M155" i="26"/>
  <c r="P154" i="26"/>
  <c r="O154" i="26"/>
  <c r="M154" i="26"/>
  <c r="P153" i="26"/>
  <c r="O153" i="26"/>
  <c r="M153" i="26"/>
  <c r="P152" i="26"/>
  <c r="O152" i="26"/>
  <c r="M152" i="26"/>
  <c r="P151" i="26"/>
  <c r="O151" i="26"/>
  <c r="M151" i="26"/>
  <c r="P150" i="26"/>
  <c r="O150" i="26"/>
  <c r="M150" i="26"/>
  <c r="P149" i="26"/>
  <c r="O149" i="26"/>
  <c r="M149" i="26"/>
  <c r="P148" i="26"/>
  <c r="O148" i="26"/>
  <c r="M148" i="26"/>
  <c r="P147" i="26"/>
  <c r="O147" i="26"/>
  <c r="M147" i="26"/>
  <c r="P146" i="26"/>
  <c r="O146" i="26"/>
  <c r="M146" i="26"/>
  <c r="P145" i="26"/>
  <c r="O145" i="26"/>
  <c r="M145" i="26"/>
  <c r="P144" i="26"/>
  <c r="O144" i="26"/>
  <c r="M144" i="26"/>
  <c r="P143" i="26"/>
  <c r="O143" i="26"/>
  <c r="M143" i="26"/>
  <c r="P142" i="26"/>
  <c r="O142" i="26"/>
  <c r="M142" i="26"/>
  <c r="P141" i="26"/>
  <c r="O141" i="26"/>
  <c r="M141" i="26"/>
  <c r="P140" i="26"/>
  <c r="O140" i="26"/>
  <c r="M140" i="26"/>
  <c r="P139" i="26"/>
  <c r="O139" i="26"/>
  <c r="M139" i="26"/>
  <c r="P138" i="26"/>
  <c r="O138" i="26"/>
  <c r="M138" i="26"/>
  <c r="P137" i="26"/>
  <c r="O137" i="26"/>
  <c r="M137" i="26"/>
  <c r="P136" i="26"/>
  <c r="O136" i="26"/>
  <c r="M136" i="26"/>
  <c r="P135" i="26"/>
  <c r="O135" i="26"/>
  <c r="M135" i="26"/>
  <c r="P134" i="26"/>
  <c r="O134" i="26"/>
  <c r="M134" i="26"/>
  <c r="P133" i="26"/>
  <c r="O133" i="26"/>
  <c r="M133" i="26"/>
  <c r="P132" i="26"/>
  <c r="O132" i="26"/>
  <c r="M132" i="26"/>
  <c r="O131" i="26"/>
  <c r="M131" i="26"/>
  <c r="O130" i="26"/>
  <c r="M130" i="26"/>
  <c r="O129" i="26"/>
  <c r="M129" i="26"/>
  <c r="O128" i="26"/>
  <c r="M128" i="26"/>
  <c r="O127" i="26"/>
  <c r="M127" i="26"/>
  <c r="O126" i="26"/>
  <c r="M126" i="26"/>
  <c r="O125" i="26"/>
  <c r="M125" i="26"/>
  <c r="O124" i="26"/>
  <c r="M124" i="26"/>
  <c r="O123" i="26"/>
  <c r="M123" i="26"/>
  <c r="O122" i="26"/>
  <c r="M122" i="26"/>
  <c r="O121" i="26"/>
  <c r="M121" i="26"/>
  <c r="O120" i="26"/>
  <c r="M120" i="26"/>
  <c r="O119" i="26"/>
  <c r="M119" i="26"/>
  <c r="O118" i="26"/>
  <c r="M118" i="26"/>
  <c r="O117" i="26"/>
  <c r="M117" i="26"/>
  <c r="O116" i="26"/>
  <c r="M116" i="26"/>
  <c r="O115" i="26"/>
  <c r="M115" i="26"/>
  <c r="O114" i="26"/>
  <c r="M114" i="26"/>
  <c r="O113" i="26"/>
  <c r="M113" i="26"/>
  <c r="O112" i="26"/>
  <c r="M112" i="26"/>
  <c r="O111" i="26"/>
  <c r="M111" i="26"/>
  <c r="O110" i="26"/>
  <c r="M110" i="26"/>
  <c r="O109" i="26"/>
  <c r="M109" i="26"/>
  <c r="O108" i="26"/>
  <c r="M108" i="26"/>
  <c r="O107" i="26"/>
  <c r="M107" i="26"/>
  <c r="O106" i="26"/>
  <c r="O105" i="26"/>
  <c r="O101" i="26"/>
  <c r="P101" i="26"/>
  <c r="O100" i="26"/>
  <c r="M100" i="26"/>
  <c r="D97" i="26"/>
  <c r="L94" i="26"/>
  <c r="J94" i="26"/>
  <c r="D92" i="26"/>
  <c r="D91" i="26"/>
  <c r="D90" i="26"/>
  <c r="N73" i="26"/>
  <c r="L73" i="26"/>
  <c r="N72" i="26"/>
  <c r="L72" i="26"/>
  <c r="N71" i="26"/>
  <c r="L71" i="26"/>
  <c r="N70" i="26"/>
  <c r="L70" i="26"/>
  <c r="N69" i="26"/>
  <c r="L69" i="26"/>
  <c r="N68" i="26"/>
  <c r="L68" i="26"/>
  <c r="N67" i="26"/>
  <c r="L67" i="26"/>
  <c r="N66" i="26"/>
  <c r="L66" i="26"/>
  <c r="N65" i="26"/>
  <c r="L65" i="26"/>
  <c r="N64" i="26"/>
  <c r="L64" i="26"/>
  <c r="N63" i="26"/>
  <c r="L63" i="26"/>
  <c r="N62" i="26"/>
  <c r="L62" i="26"/>
  <c r="N61" i="26"/>
  <c r="L61" i="26"/>
  <c r="N60" i="26"/>
  <c r="L60" i="26"/>
  <c r="N59" i="26"/>
  <c r="L59" i="26"/>
  <c r="N58" i="26"/>
  <c r="L58" i="26"/>
  <c r="N57" i="26"/>
  <c r="L57" i="26"/>
  <c r="N56" i="26"/>
  <c r="L56" i="26"/>
  <c r="N55" i="26"/>
  <c r="L55" i="26"/>
  <c r="N54" i="26"/>
  <c r="L54" i="26"/>
  <c r="N53" i="26"/>
  <c r="L53" i="26"/>
  <c r="N52" i="26"/>
  <c r="L52" i="26"/>
  <c r="N51" i="26"/>
  <c r="L51" i="26"/>
  <c r="N50" i="26"/>
  <c r="L50" i="26"/>
  <c r="N49" i="26"/>
  <c r="L49" i="26"/>
  <c r="N48" i="26"/>
  <c r="L48" i="26"/>
  <c r="N47" i="26"/>
  <c r="L47" i="26"/>
  <c r="N46" i="26"/>
  <c r="L46" i="26"/>
  <c r="N45" i="26"/>
  <c r="L45" i="26"/>
  <c r="N44" i="26"/>
  <c r="L44" i="26"/>
  <c r="N43" i="26"/>
  <c r="L43" i="26"/>
  <c r="N42" i="26"/>
  <c r="L42" i="26"/>
  <c r="N41" i="26"/>
  <c r="L41" i="26"/>
  <c r="N40" i="26"/>
  <c r="L40" i="26"/>
  <c r="N39" i="26"/>
  <c r="L39" i="26"/>
  <c r="N38" i="26"/>
  <c r="L38" i="26"/>
  <c r="N37" i="26"/>
  <c r="L37" i="26"/>
  <c r="N36" i="26"/>
  <c r="L36" i="26"/>
  <c r="N35" i="26"/>
  <c r="L35" i="26"/>
  <c r="N34" i="26"/>
  <c r="L34" i="26"/>
  <c r="N31" i="26"/>
  <c r="L31" i="26"/>
  <c r="N30" i="26"/>
  <c r="L30" i="26"/>
  <c r="N29" i="26"/>
  <c r="L29" i="26"/>
  <c r="N28" i="26"/>
  <c r="L28" i="26"/>
  <c r="N27" i="26"/>
  <c r="L27" i="26"/>
  <c r="N26" i="26"/>
  <c r="L26" i="26"/>
  <c r="N25" i="26"/>
  <c r="L25" i="26"/>
  <c r="N24" i="26"/>
  <c r="N19" i="26"/>
  <c r="C18" i="26"/>
  <c r="C19" i="26"/>
  <c r="C20" i="26" s="1"/>
  <c r="C21" i="26" s="1"/>
  <c r="C22" i="26" s="1"/>
  <c r="C23" i="26" s="1"/>
  <c r="C24" i="26" s="1"/>
  <c r="C25" i="26" s="1"/>
  <c r="C26" i="26" s="1"/>
  <c r="C27" i="26" s="1"/>
  <c r="C28" i="26" s="1"/>
  <c r="C29" i="26" s="1"/>
  <c r="C30" i="26" s="1"/>
  <c r="C31" i="26" s="1"/>
  <c r="C32" i="26" s="1"/>
  <c r="C17" i="26"/>
  <c r="K11" i="26"/>
  <c r="I11" i="26"/>
  <c r="P155" i="25"/>
  <c r="O155" i="25"/>
  <c r="M155" i="25"/>
  <c r="J155" i="25"/>
  <c r="P154" i="25"/>
  <c r="O154" i="25"/>
  <c r="M154" i="25"/>
  <c r="J154" i="25"/>
  <c r="P153" i="25"/>
  <c r="O153" i="25"/>
  <c r="M153" i="25"/>
  <c r="J153" i="25"/>
  <c r="P152" i="25"/>
  <c r="O152" i="25"/>
  <c r="M152" i="25"/>
  <c r="J152" i="25"/>
  <c r="P151" i="25"/>
  <c r="O151" i="25"/>
  <c r="M151" i="25"/>
  <c r="J151" i="25"/>
  <c r="P150" i="25"/>
  <c r="O150" i="25"/>
  <c r="M150" i="25"/>
  <c r="J150" i="25"/>
  <c r="P149" i="25"/>
  <c r="O149" i="25"/>
  <c r="M149" i="25"/>
  <c r="J149" i="25"/>
  <c r="P148" i="25"/>
  <c r="O148" i="25"/>
  <c r="M148" i="25"/>
  <c r="J148" i="25"/>
  <c r="P147" i="25"/>
  <c r="O147" i="25"/>
  <c r="M147" i="25"/>
  <c r="J147" i="25"/>
  <c r="P146" i="25"/>
  <c r="O146" i="25"/>
  <c r="M146" i="25"/>
  <c r="J146" i="25"/>
  <c r="P145" i="25"/>
  <c r="O145" i="25"/>
  <c r="M145" i="25"/>
  <c r="J145" i="25"/>
  <c r="P144" i="25"/>
  <c r="O144" i="25"/>
  <c r="M144" i="25"/>
  <c r="J144" i="25"/>
  <c r="P143" i="25"/>
  <c r="O143" i="25"/>
  <c r="M143" i="25"/>
  <c r="J143" i="25"/>
  <c r="P142" i="25"/>
  <c r="O142" i="25"/>
  <c r="M142" i="25"/>
  <c r="J142" i="25"/>
  <c r="P141" i="25"/>
  <c r="O141" i="25"/>
  <c r="M141" i="25"/>
  <c r="J141" i="25"/>
  <c r="P140" i="25"/>
  <c r="O140" i="25"/>
  <c r="M140" i="25"/>
  <c r="J140" i="25"/>
  <c r="P139" i="25"/>
  <c r="O139" i="25"/>
  <c r="M139" i="25"/>
  <c r="J139" i="25"/>
  <c r="P138" i="25"/>
  <c r="O138" i="25"/>
  <c r="M138" i="25"/>
  <c r="J138" i="25"/>
  <c r="P137" i="25"/>
  <c r="O137" i="25"/>
  <c r="M137" i="25"/>
  <c r="J137" i="25"/>
  <c r="P136" i="25"/>
  <c r="O136" i="25"/>
  <c r="M136" i="25"/>
  <c r="J136" i="25"/>
  <c r="P135" i="25"/>
  <c r="O135" i="25"/>
  <c r="M135" i="25"/>
  <c r="J135" i="25"/>
  <c r="P134" i="25"/>
  <c r="O134" i="25"/>
  <c r="M134" i="25"/>
  <c r="J134" i="25"/>
  <c r="P133" i="25"/>
  <c r="O133" i="25"/>
  <c r="M133" i="25"/>
  <c r="J133" i="25"/>
  <c r="P132" i="25"/>
  <c r="O132" i="25"/>
  <c r="M132" i="25"/>
  <c r="J132" i="25"/>
  <c r="O131" i="25"/>
  <c r="M131" i="25"/>
  <c r="O130" i="25"/>
  <c r="M130" i="25"/>
  <c r="O129" i="25"/>
  <c r="M129" i="25"/>
  <c r="O128" i="25"/>
  <c r="M128" i="25"/>
  <c r="O127" i="25"/>
  <c r="M127" i="25"/>
  <c r="O126" i="25"/>
  <c r="M126" i="25"/>
  <c r="O125" i="25"/>
  <c r="M125" i="25"/>
  <c r="O124" i="25"/>
  <c r="M124" i="25"/>
  <c r="O123" i="25"/>
  <c r="M123" i="25"/>
  <c r="O122" i="25"/>
  <c r="M122" i="25"/>
  <c r="O121" i="25"/>
  <c r="M121" i="25"/>
  <c r="O120" i="25"/>
  <c r="M120" i="25"/>
  <c r="O119" i="25"/>
  <c r="M119" i="25"/>
  <c r="O118" i="25"/>
  <c r="M118" i="25"/>
  <c r="O117" i="25"/>
  <c r="M117" i="25"/>
  <c r="O116" i="25"/>
  <c r="M116" i="25"/>
  <c r="O115" i="25"/>
  <c r="M115" i="25"/>
  <c r="O114" i="25"/>
  <c r="M114" i="25"/>
  <c r="O113" i="25"/>
  <c r="M113" i="25"/>
  <c r="O112" i="25"/>
  <c r="M112" i="25"/>
  <c r="O111" i="25"/>
  <c r="M111" i="25"/>
  <c r="O110" i="25"/>
  <c r="M110" i="25"/>
  <c r="O109" i="25"/>
  <c r="M109" i="25"/>
  <c r="O108" i="25"/>
  <c r="M108" i="25"/>
  <c r="O107" i="25"/>
  <c r="M107" i="25"/>
  <c r="O106" i="25"/>
  <c r="M106" i="25"/>
  <c r="O105" i="25"/>
  <c r="O104" i="25"/>
  <c r="O100" i="25"/>
  <c r="D97" i="25"/>
  <c r="L94" i="25"/>
  <c r="J94" i="25"/>
  <c r="D92" i="25"/>
  <c r="D90" i="25"/>
  <c r="N73" i="25"/>
  <c r="L73" i="25"/>
  <c r="N72" i="25"/>
  <c r="L72" i="25"/>
  <c r="N71" i="25"/>
  <c r="L71" i="25"/>
  <c r="N70" i="25"/>
  <c r="L70" i="25"/>
  <c r="N69" i="25"/>
  <c r="L69" i="25"/>
  <c r="N68" i="25"/>
  <c r="L68" i="25"/>
  <c r="N67" i="25"/>
  <c r="L67" i="25"/>
  <c r="N66" i="25"/>
  <c r="L66" i="25"/>
  <c r="N65" i="25"/>
  <c r="L65" i="25"/>
  <c r="N64" i="25"/>
  <c r="L64" i="25"/>
  <c r="N63" i="25"/>
  <c r="L63" i="25"/>
  <c r="N62" i="25"/>
  <c r="L62" i="25"/>
  <c r="N61" i="25"/>
  <c r="L61" i="25"/>
  <c r="N60" i="25"/>
  <c r="L60" i="25"/>
  <c r="N59" i="25"/>
  <c r="L59" i="25"/>
  <c r="N58" i="25"/>
  <c r="L58" i="25"/>
  <c r="N57" i="25"/>
  <c r="L57" i="25"/>
  <c r="N56" i="25"/>
  <c r="L56" i="25"/>
  <c r="N55" i="25"/>
  <c r="L55" i="25"/>
  <c r="N54" i="25"/>
  <c r="L54" i="25"/>
  <c r="N53" i="25"/>
  <c r="L53" i="25"/>
  <c r="N52" i="25"/>
  <c r="L52" i="25"/>
  <c r="N51" i="25"/>
  <c r="L51" i="25"/>
  <c r="N50" i="25"/>
  <c r="L50" i="25"/>
  <c r="N49" i="25"/>
  <c r="L49" i="25"/>
  <c r="N48" i="25"/>
  <c r="L48" i="25"/>
  <c r="N47" i="25"/>
  <c r="L47" i="25"/>
  <c r="N46" i="25"/>
  <c r="L46" i="25"/>
  <c r="N45" i="25"/>
  <c r="L45" i="25"/>
  <c r="N44" i="25"/>
  <c r="L44" i="25"/>
  <c r="N43" i="25"/>
  <c r="L43" i="25"/>
  <c r="N42" i="25"/>
  <c r="L42" i="25"/>
  <c r="N41" i="25"/>
  <c r="L41" i="25"/>
  <c r="N40" i="25"/>
  <c r="L40" i="25"/>
  <c r="N39" i="25"/>
  <c r="L39" i="25"/>
  <c r="N38" i="25"/>
  <c r="L38" i="25"/>
  <c r="N37" i="25"/>
  <c r="L37" i="25"/>
  <c r="N36" i="25"/>
  <c r="L36" i="25"/>
  <c r="N35" i="25"/>
  <c r="L35" i="25"/>
  <c r="N34" i="25"/>
  <c r="L34" i="25"/>
  <c r="N31" i="25"/>
  <c r="L31" i="25"/>
  <c r="N30" i="25"/>
  <c r="L30" i="25"/>
  <c r="N29" i="25"/>
  <c r="L29" i="25"/>
  <c r="N28" i="25"/>
  <c r="L28" i="25"/>
  <c r="N27" i="25"/>
  <c r="L27" i="25"/>
  <c r="N26" i="25"/>
  <c r="L26" i="25"/>
  <c r="N25" i="25"/>
  <c r="L25" i="25"/>
  <c r="N24" i="25"/>
  <c r="L24" i="25"/>
  <c r="N23" i="25"/>
  <c r="N18" i="25"/>
  <c r="C18" i="25"/>
  <c r="C19" i="25" s="1"/>
  <c r="C20" i="25" s="1"/>
  <c r="C21" i="25" s="1"/>
  <c r="C22" i="25" s="1"/>
  <c r="C23" i="25" s="1"/>
  <c r="C24" i="25" s="1"/>
  <c r="C25" i="25" s="1"/>
  <c r="C26" i="25" s="1"/>
  <c r="C27" i="25" s="1"/>
  <c r="C28" i="25" s="1"/>
  <c r="C29" i="25" s="1"/>
  <c r="C30" i="25" s="1"/>
  <c r="C31" i="25" s="1"/>
  <c r="C32" i="25" s="1"/>
  <c r="C17" i="25"/>
  <c r="K11" i="25"/>
  <c r="I11" i="25"/>
  <c r="D8" i="25"/>
  <c r="D91" i="25" s="1"/>
  <c r="P155" i="24"/>
  <c r="O155" i="24"/>
  <c r="M155" i="24"/>
  <c r="P154" i="24"/>
  <c r="O154" i="24"/>
  <c r="M154" i="24"/>
  <c r="P153" i="24"/>
  <c r="O153" i="24"/>
  <c r="M153" i="24"/>
  <c r="P152" i="24"/>
  <c r="O152" i="24"/>
  <c r="M152" i="24"/>
  <c r="P151" i="24"/>
  <c r="O151" i="24"/>
  <c r="M151" i="24"/>
  <c r="P150" i="24"/>
  <c r="O150" i="24"/>
  <c r="M150" i="24"/>
  <c r="P149" i="24"/>
  <c r="O149" i="24"/>
  <c r="M149" i="24"/>
  <c r="P148" i="24"/>
  <c r="O148" i="24"/>
  <c r="M148" i="24"/>
  <c r="P147" i="24"/>
  <c r="O147" i="24"/>
  <c r="M147" i="24"/>
  <c r="P146" i="24"/>
  <c r="O146" i="24"/>
  <c r="M146" i="24"/>
  <c r="P145" i="24"/>
  <c r="O145" i="24"/>
  <c r="M145" i="24"/>
  <c r="P144" i="24"/>
  <c r="O144" i="24"/>
  <c r="M144" i="24"/>
  <c r="P143" i="24"/>
  <c r="O143" i="24"/>
  <c r="M143" i="24"/>
  <c r="P142" i="24"/>
  <c r="O142" i="24"/>
  <c r="M142" i="24"/>
  <c r="P141" i="24"/>
  <c r="O141" i="24"/>
  <c r="M141" i="24"/>
  <c r="P140" i="24"/>
  <c r="O140" i="24"/>
  <c r="M140" i="24"/>
  <c r="P139" i="24"/>
  <c r="O139" i="24"/>
  <c r="M139" i="24"/>
  <c r="P138" i="24"/>
  <c r="O138" i="24"/>
  <c r="M138" i="24"/>
  <c r="P137" i="24"/>
  <c r="O137" i="24"/>
  <c r="M137" i="24"/>
  <c r="P136" i="24"/>
  <c r="O136" i="24"/>
  <c r="M136" i="24"/>
  <c r="P135" i="24"/>
  <c r="O135" i="24"/>
  <c r="M135" i="24"/>
  <c r="P134" i="24"/>
  <c r="O134" i="24"/>
  <c r="M134" i="24"/>
  <c r="P133" i="24"/>
  <c r="O133" i="24"/>
  <c r="M133" i="24"/>
  <c r="P132" i="24"/>
  <c r="O132" i="24"/>
  <c r="M132" i="24"/>
  <c r="O131" i="24"/>
  <c r="M131" i="24"/>
  <c r="O130" i="24"/>
  <c r="M130" i="24"/>
  <c r="O129" i="24"/>
  <c r="M129" i="24"/>
  <c r="O128" i="24"/>
  <c r="M128" i="24"/>
  <c r="O127" i="24"/>
  <c r="M127" i="24"/>
  <c r="O126" i="24"/>
  <c r="M126" i="24"/>
  <c r="O125" i="24"/>
  <c r="M125" i="24"/>
  <c r="O124" i="24"/>
  <c r="M124" i="24"/>
  <c r="O123" i="24"/>
  <c r="M123" i="24"/>
  <c r="O122" i="24"/>
  <c r="M122" i="24"/>
  <c r="O121" i="24"/>
  <c r="M121" i="24"/>
  <c r="O120" i="24"/>
  <c r="M120" i="24"/>
  <c r="O119" i="24"/>
  <c r="M119" i="24"/>
  <c r="O118" i="24"/>
  <c r="M118" i="24"/>
  <c r="O117" i="24"/>
  <c r="M117" i="24"/>
  <c r="O116" i="24"/>
  <c r="M116" i="24"/>
  <c r="O115" i="24"/>
  <c r="M115" i="24"/>
  <c r="O114" i="24"/>
  <c r="M114" i="24"/>
  <c r="O113" i="24"/>
  <c r="M113" i="24"/>
  <c r="O112" i="24"/>
  <c r="M112" i="24"/>
  <c r="O111" i="24"/>
  <c r="M111" i="24"/>
  <c r="O110" i="24"/>
  <c r="M110" i="24"/>
  <c r="O109" i="24"/>
  <c r="M109" i="24"/>
  <c r="O108" i="24"/>
  <c r="M108" i="24"/>
  <c r="O107" i="24"/>
  <c r="O106" i="24"/>
  <c r="O102" i="24"/>
  <c r="O101" i="24"/>
  <c r="M101" i="24"/>
  <c r="O100" i="24"/>
  <c r="M100" i="24"/>
  <c r="D97" i="24"/>
  <c r="L94" i="24"/>
  <c r="J94" i="24"/>
  <c r="D92" i="24"/>
  <c r="D90" i="24"/>
  <c r="N73" i="24"/>
  <c r="L73" i="24"/>
  <c r="N72" i="24"/>
  <c r="L72" i="24"/>
  <c r="N71" i="24"/>
  <c r="L71" i="24"/>
  <c r="N70" i="24"/>
  <c r="L70" i="24"/>
  <c r="N69" i="24"/>
  <c r="L69" i="24"/>
  <c r="N68" i="24"/>
  <c r="L68" i="24"/>
  <c r="N67" i="24"/>
  <c r="L67" i="24"/>
  <c r="N66" i="24"/>
  <c r="L66" i="24"/>
  <c r="N65" i="24"/>
  <c r="L65" i="24"/>
  <c r="N64" i="24"/>
  <c r="L64" i="24"/>
  <c r="N63" i="24"/>
  <c r="L63" i="24"/>
  <c r="N62" i="24"/>
  <c r="L62" i="24"/>
  <c r="N61" i="24"/>
  <c r="L61" i="24"/>
  <c r="N60" i="24"/>
  <c r="L60" i="24"/>
  <c r="N59" i="24"/>
  <c r="L59" i="24"/>
  <c r="N58" i="24"/>
  <c r="L58" i="24"/>
  <c r="N57" i="24"/>
  <c r="L57" i="24"/>
  <c r="N56" i="24"/>
  <c r="L56" i="24"/>
  <c r="N55" i="24"/>
  <c r="L55" i="24"/>
  <c r="N54" i="24"/>
  <c r="L54" i="24"/>
  <c r="N53" i="24"/>
  <c r="L53" i="24"/>
  <c r="N52" i="24"/>
  <c r="L52" i="24"/>
  <c r="N51" i="24"/>
  <c r="L51" i="24"/>
  <c r="N50" i="24"/>
  <c r="L50" i="24"/>
  <c r="N49" i="24"/>
  <c r="L49" i="24"/>
  <c r="N48" i="24"/>
  <c r="L48" i="24"/>
  <c r="N47" i="24"/>
  <c r="L47" i="24"/>
  <c r="N46" i="24"/>
  <c r="L46" i="24"/>
  <c r="N45" i="24"/>
  <c r="L45" i="24"/>
  <c r="N44" i="24"/>
  <c r="L44" i="24"/>
  <c r="N43" i="24"/>
  <c r="L43" i="24"/>
  <c r="N42" i="24"/>
  <c r="L42" i="24"/>
  <c r="N41" i="24"/>
  <c r="L41" i="24"/>
  <c r="N40" i="24"/>
  <c r="L40" i="24"/>
  <c r="N39" i="24"/>
  <c r="L39" i="24"/>
  <c r="N38" i="24"/>
  <c r="L38" i="24"/>
  <c r="N37" i="24"/>
  <c r="L37" i="24"/>
  <c r="N36" i="24"/>
  <c r="L36" i="24"/>
  <c r="N35" i="24"/>
  <c r="L35" i="24"/>
  <c r="N34" i="24"/>
  <c r="L34" i="24"/>
  <c r="N31" i="24"/>
  <c r="L31" i="24"/>
  <c r="N30" i="24"/>
  <c r="L30" i="24"/>
  <c r="N29" i="24"/>
  <c r="L29" i="24"/>
  <c r="N28" i="24"/>
  <c r="L28" i="24"/>
  <c r="N27" i="24"/>
  <c r="L27" i="24"/>
  <c r="N26" i="24"/>
  <c r="L26" i="24"/>
  <c r="N25" i="24"/>
  <c r="N20" i="24"/>
  <c r="C17" i="24"/>
  <c r="C18" i="24" s="1"/>
  <c r="C19" i="24" s="1"/>
  <c r="C20" i="24" s="1"/>
  <c r="C21" i="24" s="1"/>
  <c r="C22" i="24" s="1"/>
  <c r="C23" i="24" s="1"/>
  <c r="C24" i="24" s="1"/>
  <c r="C25" i="24" s="1"/>
  <c r="C26" i="24" s="1"/>
  <c r="C27" i="24" s="1"/>
  <c r="C28" i="24" s="1"/>
  <c r="C29" i="24" s="1"/>
  <c r="C30" i="24" s="1"/>
  <c r="C31" i="24" s="1"/>
  <c r="C32" i="24" s="1"/>
  <c r="K11" i="24"/>
  <c r="I11" i="24"/>
  <c r="D91" i="24"/>
  <c r="D93" i="21"/>
  <c r="M17" i="23"/>
  <c r="N17" i="23" s="1"/>
  <c r="O17" i="23" s="1"/>
  <c r="K17" i="23"/>
  <c r="L17" i="23" s="1"/>
  <c r="M17" i="22"/>
  <c r="N17" i="22"/>
  <c r="O17" i="22" s="1"/>
  <c r="K17" i="22"/>
  <c r="L17" i="22" s="1"/>
  <c r="N101" i="21"/>
  <c r="O101" i="21"/>
  <c r="L101" i="21"/>
  <c r="M101" i="21" s="1"/>
  <c r="M18" i="21"/>
  <c r="N18" i="21" s="1"/>
  <c r="O18" i="21" s="1"/>
  <c r="K18" i="21"/>
  <c r="L18" i="21"/>
  <c r="N102" i="19"/>
  <c r="O102" i="19" s="1"/>
  <c r="L102" i="19"/>
  <c r="M102" i="19"/>
  <c r="M20" i="19"/>
  <c r="N20" i="19" s="1"/>
  <c r="K20" i="19"/>
  <c r="L20" i="19"/>
  <c r="M20" i="18"/>
  <c r="N20" i="18" s="1"/>
  <c r="K20" i="18"/>
  <c r="L20" i="18"/>
  <c r="N103" i="4"/>
  <c r="O103" i="4" s="1"/>
  <c r="L103" i="4"/>
  <c r="M103" i="4" s="1"/>
  <c r="M21" i="4"/>
  <c r="N21" i="4" s="1"/>
  <c r="K21" i="4"/>
  <c r="L21" i="4"/>
  <c r="N103" i="3"/>
  <c r="O103" i="3" s="1"/>
  <c r="L103" i="3"/>
  <c r="M103" i="3" s="1"/>
  <c r="M21" i="3"/>
  <c r="N21" i="3" s="1"/>
  <c r="K21" i="3"/>
  <c r="L21" i="3"/>
  <c r="D8" i="23"/>
  <c r="D8" i="22"/>
  <c r="D91" i="22" s="1"/>
  <c r="D8" i="21"/>
  <c r="D8" i="19"/>
  <c r="D8" i="18"/>
  <c r="D91" i="18" s="1"/>
  <c r="D8" i="4"/>
  <c r="D8" i="3"/>
  <c r="D8" i="13"/>
  <c r="D91" i="13" s="1"/>
  <c r="W25" i="17"/>
  <c r="W24" i="17"/>
  <c r="P155" i="23"/>
  <c r="O155" i="23"/>
  <c r="M155" i="23"/>
  <c r="P154" i="23"/>
  <c r="O154" i="23"/>
  <c r="M154" i="23"/>
  <c r="P153" i="23"/>
  <c r="O153" i="23"/>
  <c r="M153" i="23"/>
  <c r="P152" i="23"/>
  <c r="O152" i="23"/>
  <c r="M152" i="23"/>
  <c r="P151" i="23"/>
  <c r="O151" i="23"/>
  <c r="M151" i="23"/>
  <c r="P150" i="23"/>
  <c r="O150" i="23"/>
  <c r="M150" i="23"/>
  <c r="P149" i="23"/>
  <c r="O149" i="23"/>
  <c r="M149" i="23"/>
  <c r="P148" i="23"/>
  <c r="O148" i="23"/>
  <c r="M148" i="23"/>
  <c r="P147" i="23"/>
  <c r="O147" i="23"/>
  <c r="M147" i="23"/>
  <c r="P146" i="23"/>
  <c r="O146" i="23"/>
  <c r="M146" i="23"/>
  <c r="P145" i="23"/>
  <c r="O145" i="23"/>
  <c r="M145" i="23"/>
  <c r="P144" i="23"/>
  <c r="O144" i="23"/>
  <c r="M144" i="23"/>
  <c r="P143" i="23"/>
  <c r="O143" i="23"/>
  <c r="M143" i="23"/>
  <c r="P142" i="23"/>
  <c r="O142" i="23"/>
  <c r="M142" i="23"/>
  <c r="P141" i="23"/>
  <c r="O141" i="23"/>
  <c r="M141" i="23"/>
  <c r="P140" i="23"/>
  <c r="O140" i="23"/>
  <c r="M140" i="23"/>
  <c r="P139" i="23"/>
  <c r="O139" i="23"/>
  <c r="M139" i="23"/>
  <c r="P138" i="23"/>
  <c r="O138" i="23"/>
  <c r="M138" i="23"/>
  <c r="P137" i="23"/>
  <c r="O137" i="23"/>
  <c r="M137" i="23"/>
  <c r="P136" i="23"/>
  <c r="O136" i="23"/>
  <c r="M136" i="23"/>
  <c r="P135" i="23"/>
  <c r="O135" i="23"/>
  <c r="M135" i="23"/>
  <c r="P134" i="23"/>
  <c r="O134" i="23"/>
  <c r="M134" i="23"/>
  <c r="P133" i="23"/>
  <c r="O133" i="23"/>
  <c r="M133" i="23"/>
  <c r="P132" i="23"/>
  <c r="O132" i="23"/>
  <c r="M132" i="23"/>
  <c r="O131" i="23"/>
  <c r="M131" i="23"/>
  <c r="O130" i="23"/>
  <c r="M130" i="23"/>
  <c r="O129" i="23"/>
  <c r="M129" i="23"/>
  <c r="O128" i="23"/>
  <c r="M128" i="23"/>
  <c r="O127" i="23"/>
  <c r="M127" i="23"/>
  <c r="O126" i="23"/>
  <c r="M126" i="23"/>
  <c r="O125" i="23"/>
  <c r="M125" i="23"/>
  <c r="O124" i="23"/>
  <c r="M124" i="23"/>
  <c r="O123" i="23"/>
  <c r="M123" i="23"/>
  <c r="O122" i="23"/>
  <c r="M122" i="23"/>
  <c r="O121" i="23"/>
  <c r="M121" i="23"/>
  <c r="O120" i="23"/>
  <c r="M120" i="23"/>
  <c r="O119" i="23"/>
  <c r="M119" i="23"/>
  <c r="O118" i="23"/>
  <c r="M118" i="23"/>
  <c r="O117" i="23"/>
  <c r="M117" i="23"/>
  <c r="O116" i="23"/>
  <c r="M116" i="23"/>
  <c r="O115" i="23"/>
  <c r="M115" i="23"/>
  <c r="O114" i="23"/>
  <c r="M114" i="23"/>
  <c r="O113" i="23"/>
  <c r="M113" i="23"/>
  <c r="O112" i="23"/>
  <c r="M112" i="23"/>
  <c r="O111" i="23"/>
  <c r="M111" i="23"/>
  <c r="O110" i="23"/>
  <c r="M110" i="23"/>
  <c r="O109" i="23"/>
  <c r="M109" i="23"/>
  <c r="O108" i="23"/>
  <c r="M108" i="23"/>
  <c r="O107" i="23"/>
  <c r="M107" i="23"/>
  <c r="O106" i="23"/>
  <c r="O105" i="23"/>
  <c r="D97" i="23"/>
  <c r="L94" i="23"/>
  <c r="J94" i="23"/>
  <c r="D92" i="23"/>
  <c r="D91" i="23"/>
  <c r="D90" i="23"/>
  <c r="N73" i="23"/>
  <c r="L73" i="23"/>
  <c r="N72" i="23"/>
  <c r="L72" i="23"/>
  <c r="N71" i="23"/>
  <c r="L71" i="23"/>
  <c r="N70" i="23"/>
  <c r="L70" i="23"/>
  <c r="N69" i="23"/>
  <c r="L69" i="23"/>
  <c r="N68" i="23"/>
  <c r="L68" i="23"/>
  <c r="N67" i="23"/>
  <c r="L67" i="23"/>
  <c r="N66" i="23"/>
  <c r="L66" i="23"/>
  <c r="N65" i="23"/>
  <c r="L65" i="23"/>
  <c r="N64" i="23"/>
  <c r="L64" i="23"/>
  <c r="N63" i="23"/>
  <c r="L63" i="23"/>
  <c r="N62" i="23"/>
  <c r="L62" i="23"/>
  <c r="N61" i="23"/>
  <c r="L61" i="23"/>
  <c r="N60" i="23"/>
  <c r="L60" i="23"/>
  <c r="N59" i="23"/>
  <c r="L59" i="23"/>
  <c r="N58" i="23"/>
  <c r="L58" i="23"/>
  <c r="N57" i="23"/>
  <c r="L57" i="23"/>
  <c r="N56" i="23"/>
  <c r="L56" i="23"/>
  <c r="N55" i="23"/>
  <c r="L55" i="23"/>
  <c r="N54" i="23"/>
  <c r="L54" i="23"/>
  <c r="N53" i="23"/>
  <c r="L53" i="23"/>
  <c r="N52" i="23"/>
  <c r="L52" i="23"/>
  <c r="N51" i="23"/>
  <c r="L51" i="23"/>
  <c r="N50" i="23"/>
  <c r="L50" i="23"/>
  <c r="N49" i="23"/>
  <c r="L49" i="23"/>
  <c r="N48" i="23"/>
  <c r="L48" i="23"/>
  <c r="N47" i="23"/>
  <c r="L47" i="23"/>
  <c r="N46" i="23"/>
  <c r="L46" i="23"/>
  <c r="N45" i="23"/>
  <c r="L45" i="23"/>
  <c r="N44" i="23"/>
  <c r="L44" i="23"/>
  <c r="N43" i="23"/>
  <c r="L43" i="23"/>
  <c r="N42" i="23"/>
  <c r="L42" i="23"/>
  <c r="N41" i="23"/>
  <c r="L41" i="23"/>
  <c r="N40" i="23"/>
  <c r="L40" i="23"/>
  <c r="N39" i="23"/>
  <c r="L39" i="23"/>
  <c r="N38" i="23"/>
  <c r="L38" i="23"/>
  <c r="N37" i="23"/>
  <c r="L37" i="23"/>
  <c r="N36" i="23"/>
  <c r="L36" i="23"/>
  <c r="N35" i="23"/>
  <c r="L35" i="23"/>
  <c r="N34" i="23"/>
  <c r="L34" i="23"/>
  <c r="N31" i="23"/>
  <c r="L31" i="23"/>
  <c r="N30" i="23"/>
  <c r="L30" i="23"/>
  <c r="N29" i="23"/>
  <c r="L29" i="23"/>
  <c r="N28" i="23"/>
  <c r="L28" i="23"/>
  <c r="N27" i="23"/>
  <c r="L27" i="23"/>
  <c r="N26" i="23"/>
  <c r="L26" i="23"/>
  <c r="N25" i="23"/>
  <c r="L25" i="23"/>
  <c r="N24" i="23"/>
  <c r="N19" i="23"/>
  <c r="C17" i="23"/>
  <c r="C18" i="23" s="1"/>
  <c r="C19" i="23" s="1"/>
  <c r="C20" i="23" s="1"/>
  <c r="C21" i="23" s="1"/>
  <c r="C22" i="23" s="1"/>
  <c r="C23" i="23" s="1"/>
  <c r="C24" i="23" s="1"/>
  <c r="C25" i="23" s="1"/>
  <c r="C26" i="23" s="1"/>
  <c r="C27" i="23" s="1"/>
  <c r="C28" i="23" s="1"/>
  <c r="C29" i="23" s="1"/>
  <c r="C30" i="23" s="1"/>
  <c r="C31" i="23" s="1"/>
  <c r="C32" i="23" s="1"/>
  <c r="K11" i="23"/>
  <c r="I11" i="23"/>
  <c r="P155" i="22"/>
  <c r="O155" i="22"/>
  <c r="M155" i="22"/>
  <c r="P154" i="22"/>
  <c r="O154" i="22"/>
  <c r="M154" i="22"/>
  <c r="P153" i="22"/>
  <c r="O153" i="22"/>
  <c r="M153" i="22"/>
  <c r="P152" i="22"/>
  <c r="O152" i="22"/>
  <c r="M152" i="22"/>
  <c r="P151" i="22"/>
  <c r="O151" i="22"/>
  <c r="M151" i="22"/>
  <c r="P150" i="22"/>
  <c r="O150" i="22"/>
  <c r="M150" i="22"/>
  <c r="P149" i="22"/>
  <c r="O149" i="22"/>
  <c r="M149" i="22"/>
  <c r="P148" i="22"/>
  <c r="O148" i="22"/>
  <c r="M148" i="22"/>
  <c r="P147" i="22"/>
  <c r="O147" i="22"/>
  <c r="M147" i="22"/>
  <c r="P146" i="22"/>
  <c r="O146" i="22"/>
  <c r="M146" i="22"/>
  <c r="P145" i="22"/>
  <c r="O145" i="22"/>
  <c r="M145" i="22"/>
  <c r="P144" i="22"/>
  <c r="O144" i="22"/>
  <c r="M144" i="22"/>
  <c r="P143" i="22"/>
  <c r="O143" i="22"/>
  <c r="M143" i="22"/>
  <c r="P142" i="22"/>
  <c r="O142" i="22"/>
  <c r="M142" i="22"/>
  <c r="P141" i="22"/>
  <c r="O141" i="22"/>
  <c r="M141" i="22"/>
  <c r="P140" i="22"/>
  <c r="O140" i="22"/>
  <c r="M140" i="22"/>
  <c r="P139" i="22"/>
  <c r="O139" i="22"/>
  <c r="M139" i="22"/>
  <c r="P138" i="22"/>
  <c r="O138" i="22"/>
  <c r="M138" i="22"/>
  <c r="P137" i="22"/>
  <c r="O137" i="22"/>
  <c r="M137" i="22"/>
  <c r="P136" i="22"/>
  <c r="O136" i="22"/>
  <c r="M136" i="22"/>
  <c r="P135" i="22"/>
  <c r="O135" i="22"/>
  <c r="M135" i="22"/>
  <c r="P134" i="22"/>
  <c r="O134" i="22"/>
  <c r="M134" i="22"/>
  <c r="P133" i="22"/>
  <c r="O133" i="22"/>
  <c r="M133" i="22"/>
  <c r="P132" i="22"/>
  <c r="O132" i="22"/>
  <c r="M132" i="22"/>
  <c r="O131" i="22"/>
  <c r="M131" i="22"/>
  <c r="O130" i="22"/>
  <c r="M130" i="22"/>
  <c r="O129" i="22"/>
  <c r="M129" i="22"/>
  <c r="O128" i="22"/>
  <c r="M128" i="22"/>
  <c r="O127" i="22"/>
  <c r="M127" i="22"/>
  <c r="O126" i="22"/>
  <c r="M126" i="22"/>
  <c r="O125" i="22"/>
  <c r="M125" i="22"/>
  <c r="O124" i="22"/>
  <c r="M124" i="22"/>
  <c r="O123" i="22"/>
  <c r="M123" i="22"/>
  <c r="O122" i="22"/>
  <c r="M122" i="22"/>
  <c r="O121" i="22"/>
  <c r="M121" i="22"/>
  <c r="O120" i="22"/>
  <c r="M120" i="22"/>
  <c r="O119" i="22"/>
  <c r="M119" i="22"/>
  <c r="O118" i="22"/>
  <c r="M118" i="22"/>
  <c r="O117" i="22"/>
  <c r="M117" i="22"/>
  <c r="O116" i="22"/>
  <c r="M116" i="22"/>
  <c r="O115" i="22"/>
  <c r="M115" i="22"/>
  <c r="O114" i="22"/>
  <c r="M114" i="22"/>
  <c r="O113" i="22"/>
  <c r="M113" i="22"/>
  <c r="O112" i="22"/>
  <c r="M112" i="22"/>
  <c r="O111" i="22"/>
  <c r="M111" i="22"/>
  <c r="O110" i="22"/>
  <c r="M110" i="22"/>
  <c r="O109" i="22"/>
  <c r="M109" i="22"/>
  <c r="O108" i="22"/>
  <c r="M108" i="22"/>
  <c r="O107" i="22"/>
  <c r="M107" i="22"/>
  <c r="O106" i="22"/>
  <c r="O105" i="22"/>
  <c r="D97" i="22"/>
  <c r="L94" i="22"/>
  <c r="J94" i="22"/>
  <c r="D92" i="22"/>
  <c r="D90" i="22"/>
  <c r="N73" i="22"/>
  <c r="L73" i="22"/>
  <c r="N72" i="22"/>
  <c r="L72" i="22"/>
  <c r="N71" i="22"/>
  <c r="L71" i="22"/>
  <c r="N70" i="22"/>
  <c r="L70" i="22"/>
  <c r="N69" i="22"/>
  <c r="L69" i="22"/>
  <c r="N68" i="22"/>
  <c r="L68" i="22"/>
  <c r="N67" i="22"/>
  <c r="L67" i="22"/>
  <c r="N66" i="22"/>
  <c r="L66" i="22"/>
  <c r="N65" i="22"/>
  <c r="L65" i="22"/>
  <c r="N64" i="22"/>
  <c r="L64" i="22"/>
  <c r="N63" i="22"/>
  <c r="L63" i="22"/>
  <c r="N62" i="22"/>
  <c r="L62" i="22"/>
  <c r="N61" i="22"/>
  <c r="L61" i="22"/>
  <c r="N60" i="22"/>
  <c r="L60" i="22"/>
  <c r="N59" i="22"/>
  <c r="L59" i="22"/>
  <c r="N58" i="22"/>
  <c r="L58" i="22"/>
  <c r="N57" i="22"/>
  <c r="L57" i="22"/>
  <c r="N56" i="22"/>
  <c r="L56" i="22"/>
  <c r="N55" i="22"/>
  <c r="L55" i="22"/>
  <c r="N54" i="22"/>
  <c r="L54" i="22"/>
  <c r="N53" i="22"/>
  <c r="L53" i="22"/>
  <c r="N52" i="22"/>
  <c r="L52" i="22"/>
  <c r="N51" i="22"/>
  <c r="L51" i="22"/>
  <c r="N50" i="22"/>
  <c r="L50" i="22"/>
  <c r="N49" i="22"/>
  <c r="L49" i="22"/>
  <c r="N48" i="22"/>
  <c r="L48" i="22"/>
  <c r="N47" i="22"/>
  <c r="L47" i="22"/>
  <c r="N46" i="22"/>
  <c r="L46" i="22"/>
  <c r="N45" i="22"/>
  <c r="L45" i="22"/>
  <c r="N44" i="22"/>
  <c r="L44" i="22"/>
  <c r="N43" i="22"/>
  <c r="L43" i="22"/>
  <c r="N42" i="22"/>
  <c r="L42" i="22"/>
  <c r="N41" i="22"/>
  <c r="L41" i="22"/>
  <c r="N40" i="22"/>
  <c r="L40" i="22"/>
  <c r="N39" i="22"/>
  <c r="L39" i="22"/>
  <c r="N38" i="22"/>
  <c r="L38" i="22"/>
  <c r="N37" i="22"/>
  <c r="L37" i="22"/>
  <c r="N36" i="22"/>
  <c r="L36" i="22"/>
  <c r="N35" i="22"/>
  <c r="L35" i="22"/>
  <c r="N34" i="22"/>
  <c r="L34" i="22"/>
  <c r="N33" i="22"/>
  <c r="L33" i="22"/>
  <c r="N31" i="22"/>
  <c r="L31" i="22"/>
  <c r="N30" i="22"/>
  <c r="L30" i="22"/>
  <c r="N29" i="22"/>
  <c r="L29" i="22"/>
  <c r="N28" i="22"/>
  <c r="L28" i="22"/>
  <c r="N27" i="22"/>
  <c r="L27" i="22"/>
  <c r="N26" i="22"/>
  <c r="L26" i="22"/>
  <c r="N25" i="22"/>
  <c r="L25" i="22"/>
  <c r="N24" i="22"/>
  <c r="N19" i="22"/>
  <c r="C17" i="22"/>
  <c r="C18" i="22" s="1"/>
  <c r="C19" i="22" s="1"/>
  <c r="C20" i="22" s="1"/>
  <c r="C21" i="22" s="1"/>
  <c r="C22" i="22" s="1"/>
  <c r="C23" i="22" s="1"/>
  <c r="C24" i="22" s="1"/>
  <c r="C25" i="22" s="1"/>
  <c r="C26" i="22" s="1"/>
  <c r="C27" i="22" s="1"/>
  <c r="C28" i="22" s="1"/>
  <c r="C29" i="22" s="1"/>
  <c r="C30" i="22" s="1"/>
  <c r="C31" i="22" s="1"/>
  <c r="C32" i="22" s="1"/>
  <c r="K11" i="22"/>
  <c r="I11" i="22"/>
  <c r="N100" i="21"/>
  <c r="O100" i="21" s="1"/>
  <c r="L100" i="21"/>
  <c r="M100" i="21" s="1"/>
  <c r="N101" i="19"/>
  <c r="O101" i="19" s="1"/>
  <c r="L101" i="19"/>
  <c r="M101" i="19" s="1"/>
  <c r="M19" i="19"/>
  <c r="N19" i="19"/>
  <c r="O19" i="19" s="1"/>
  <c r="K19" i="19"/>
  <c r="L19" i="19" s="1"/>
  <c r="N101" i="18"/>
  <c r="O101" i="18" s="1"/>
  <c r="L101" i="18"/>
  <c r="M101" i="18" s="1"/>
  <c r="M19" i="18"/>
  <c r="N19" i="18" s="1"/>
  <c r="O19" i="18" s="1"/>
  <c r="K19" i="18"/>
  <c r="L19" i="18" s="1"/>
  <c r="N102" i="4"/>
  <c r="O102" i="4" s="1"/>
  <c r="P102" i="4" s="1"/>
  <c r="L102" i="4"/>
  <c r="M102" i="4" s="1"/>
  <c r="M20" i="4"/>
  <c r="N20" i="4" s="1"/>
  <c r="K20" i="4"/>
  <c r="L20" i="4" s="1"/>
  <c r="M20" i="3"/>
  <c r="N20" i="3" s="1"/>
  <c r="K20" i="3"/>
  <c r="L20" i="3" s="1"/>
  <c r="N102" i="3"/>
  <c r="O102" i="3" s="1"/>
  <c r="P102" i="3" s="1"/>
  <c r="L102" i="3"/>
  <c r="M102" i="3" s="1"/>
  <c r="F79" i="1"/>
  <c r="W23" i="17"/>
  <c r="W22" i="17"/>
  <c r="B21" i="18"/>
  <c r="B19" i="21"/>
  <c r="B21" i="3"/>
  <c r="M17" i="21"/>
  <c r="K17" i="21"/>
  <c r="M17" i="20"/>
  <c r="K17" i="20"/>
  <c r="L17" i="20"/>
  <c r="N100" i="19"/>
  <c r="L100" i="19"/>
  <c r="M18" i="19"/>
  <c r="K18" i="19"/>
  <c r="L18" i="19"/>
  <c r="N100" i="18"/>
  <c r="L100" i="18"/>
  <c r="M18" i="18"/>
  <c r="K18" i="18"/>
  <c r="L18" i="18" s="1"/>
  <c r="N101" i="4"/>
  <c r="L101" i="4"/>
  <c r="M19" i="4"/>
  <c r="K19" i="4"/>
  <c r="L19" i="4"/>
  <c r="N101" i="3"/>
  <c r="L101" i="3"/>
  <c r="M19" i="3"/>
  <c r="N19" i="3"/>
  <c r="O19" i="3" s="1"/>
  <c r="K19" i="3"/>
  <c r="L19" i="3" s="1"/>
  <c r="J95" i="31"/>
  <c r="D94" i="3"/>
  <c r="C100" i="3" s="1"/>
  <c r="C17" i="3"/>
  <c r="C18" i="3" s="1"/>
  <c r="C19" i="3" s="1"/>
  <c r="C20" i="3" s="1"/>
  <c r="C21" i="3" s="1"/>
  <c r="C22" i="3" s="1"/>
  <c r="C23" i="3" s="1"/>
  <c r="C24" i="3" s="1"/>
  <c r="C25" i="3" s="1"/>
  <c r="C26" i="3" s="1"/>
  <c r="C27" i="3" s="1"/>
  <c r="C28" i="3" s="1"/>
  <c r="C29" i="3" s="1"/>
  <c r="C30" i="3" s="1"/>
  <c r="C31" i="3" s="1"/>
  <c r="C32" i="3" s="1"/>
  <c r="K18" i="3"/>
  <c r="L18" i="3" s="1"/>
  <c r="C17" i="4"/>
  <c r="C18" i="4" s="1"/>
  <c r="C19" i="4" s="1"/>
  <c r="C20" i="4" s="1"/>
  <c r="C21" i="4" s="1"/>
  <c r="C22" i="4" s="1"/>
  <c r="C23" i="4" s="1"/>
  <c r="C24" i="4" s="1"/>
  <c r="C25" i="4" s="1"/>
  <c r="C26" i="4" s="1"/>
  <c r="C27" i="4" s="1"/>
  <c r="C28" i="4" s="1"/>
  <c r="C29" i="4" s="1"/>
  <c r="C30" i="4" s="1"/>
  <c r="C31" i="4" s="1"/>
  <c r="C32" i="4" s="1"/>
  <c r="K18" i="4"/>
  <c r="C17" i="18"/>
  <c r="C18" i="18" s="1"/>
  <c r="C19" i="18" s="1"/>
  <c r="C20" i="18" s="1"/>
  <c r="C21" i="18" s="1"/>
  <c r="C22" i="18" s="1"/>
  <c r="C23" i="18" s="1"/>
  <c r="C24" i="18" s="1"/>
  <c r="C25" i="18" s="1"/>
  <c r="C26" i="18" s="1"/>
  <c r="C27" i="18" s="1"/>
  <c r="C28" i="18" s="1"/>
  <c r="C29" i="18" s="1"/>
  <c r="C30" i="18" s="1"/>
  <c r="C31" i="18" s="1"/>
  <c r="C32" i="18" s="1"/>
  <c r="K17" i="18"/>
  <c r="C17" i="19"/>
  <c r="C18" i="19"/>
  <c r="C19" i="19" s="1"/>
  <c r="C20" i="19" s="1"/>
  <c r="C21" i="19" s="1"/>
  <c r="C22" i="19" s="1"/>
  <c r="C23" i="19" s="1"/>
  <c r="C24" i="19" s="1"/>
  <c r="C25" i="19" s="1"/>
  <c r="C26" i="19" s="1"/>
  <c r="C27" i="19" s="1"/>
  <c r="C28" i="19" s="1"/>
  <c r="C29" i="19" s="1"/>
  <c r="C30" i="19" s="1"/>
  <c r="C31" i="19" s="1"/>
  <c r="C32" i="19" s="1"/>
  <c r="K17" i="19"/>
  <c r="L17" i="19"/>
  <c r="C17" i="21"/>
  <c r="C18" i="21" s="1"/>
  <c r="C19" i="21" s="1"/>
  <c r="C20" i="21" s="1"/>
  <c r="C21" i="21" s="1"/>
  <c r="C22" i="21" s="1"/>
  <c r="C23" i="21" s="1"/>
  <c r="C24" i="21" s="1"/>
  <c r="C25" i="21" s="1"/>
  <c r="C26" i="21" s="1"/>
  <c r="C27" i="21" s="1"/>
  <c r="C28" i="21" s="1"/>
  <c r="C29" i="21" s="1"/>
  <c r="C30" i="21" s="1"/>
  <c r="C31" i="21" s="1"/>
  <c r="C32" i="21" s="1"/>
  <c r="I14" i="20"/>
  <c r="C17" i="20"/>
  <c r="C18" i="20" s="1"/>
  <c r="C19" i="20" s="1"/>
  <c r="C20" i="20" s="1"/>
  <c r="C21" i="20" s="1"/>
  <c r="C22" i="20" s="1"/>
  <c r="C23" i="20" s="1"/>
  <c r="C24" i="20" s="1"/>
  <c r="C25" i="20" s="1"/>
  <c r="C26" i="20" s="1"/>
  <c r="C27" i="20" s="1"/>
  <c r="C28" i="20" s="1"/>
  <c r="C29" i="20" s="1"/>
  <c r="C30" i="20" s="1"/>
  <c r="C31" i="20" s="1"/>
  <c r="C32" i="20" s="1"/>
  <c r="C33" i="20" s="1"/>
  <c r="C34" i="20" s="1"/>
  <c r="C35" i="20" s="1"/>
  <c r="C36" i="20" s="1"/>
  <c r="C37" i="20" s="1"/>
  <c r="C38" i="20" s="1"/>
  <c r="C39" i="20" s="1"/>
  <c r="C40" i="20" s="1"/>
  <c r="C41" i="20" s="1"/>
  <c r="C42" i="20" s="1"/>
  <c r="C43" i="20" s="1"/>
  <c r="C44" i="20" s="1"/>
  <c r="C45" i="20" s="1"/>
  <c r="C46" i="20" s="1"/>
  <c r="C47" i="20" s="1"/>
  <c r="C48" i="20" s="1"/>
  <c r="C49" i="20" s="1"/>
  <c r="C50" i="20" s="1"/>
  <c r="C51" i="20" s="1"/>
  <c r="C52" i="20" s="1"/>
  <c r="C53" i="20" s="1"/>
  <c r="C54" i="20" s="1"/>
  <c r="C55" i="20" s="1"/>
  <c r="C56" i="20" s="1"/>
  <c r="C57" i="20" s="1"/>
  <c r="C58" i="20" s="1"/>
  <c r="C59" i="20" s="1"/>
  <c r="C60" i="20" s="1"/>
  <c r="C61" i="20" s="1"/>
  <c r="C62" i="20" s="1"/>
  <c r="C63" i="20" s="1"/>
  <c r="C64" i="20" s="1"/>
  <c r="C65" i="20" s="1"/>
  <c r="C66" i="20" s="1"/>
  <c r="C67" i="20" s="1"/>
  <c r="C68" i="20" s="1"/>
  <c r="C69" i="20" s="1"/>
  <c r="C70" i="20" s="1"/>
  <c r="C71" i="20" s="1"/>
  <c r="C72" i="20" s="1"/>
  <c r="C73" i="20" s="1"/>
  <c r="D95" i="3"/>
  <c r="P1" i="21"/>
  <c r="P84" i="21" s="1"/>
  <c r="H3" i="21"/>
  <c r="K11" i="21"/>
  <c r="B17" i="21"/>
  <c r="L17" i="21"/>
  <c r="N17" i="21"/>
  <c r="O17" i="21"/>
  <c r="N20" i="21"/>
  <c r="N25" i="21"/>
  <c r="L26" i="21"/>
  <c r="N26" i="21"/>
  <c r="L27" i="21"/>
  <c r="N27" i="21"/>
  <c r="L28" i="21"/>
  <c r="N28" i="21"/>
  <c r="L29" i="21"/>
  <c r="N29" i="21"/>
  <c r="L30" i="21"/>
  <c r="N30" i="21"/>
  <c r="L31" i="21"/>
  <c r="N31" i="21"/>
  <c r="L33" i="21"/>
  <c r="N33" i="21"/>
  <c r="L34" i="21"/>
  <c r="N34" i="21"/>
  <c r="L35" i="21"/>
  <c r="N35" i="21"/>
  <c r="L36" i="21"/>
  <c r="N36" i="21"/>
  <c r="L37" i="21"/>
  <c r="N37" i="21"/>
  <c r="L38" i="21"/>
  <c r="N38" i="21"/>
  <c r="L39" i="21"/>
  <c r="N39" i="21"/>
  <c r="L40" i="21"/>
  <c r="N40" i="21"/>
  <c r="L41" i="21"/>
  <c r="N41" i="21"/>
  <c r="L42" i="21"/>
  <c r="N42" i="21"/>
  <c r="L43" i="21"/>
  <c r="N43" i="21"/>
  <c r="L44" i="21"/>
  <c r="N44" i="21"/>
  <c r="L45" i="21"/>
  <c r="N45" i="21"/>
  <c r="L46" i="21"/>
  <c r="N46" i="21"/>
  <c r="L47" i="21"/>
  <c r="N47" i="21"/>
  <c r="L48" i="21"/>
  <c r="N48" i="21"/>
  <c r="L49" i="21"/>
  <c r="N49" i="21"/>
  <c r="L50" i="21"/>
  <c r="N50" i="21"/>
  <c r="L51" i="21"/>
  <c r="N51" i="21"/>
  <c r="L52" i="21"/>
  <c r="N52" i="21"/>
  <c r="L53" i="21"/>
  <c r="N53" i="21"/>
  <c r="L54" i="21"/>
  <c r="N54" i="21"/>
  <c r="L55" i="21"/>
  <c r="N55" i="21"/>
  <c r="L56" i="21"/>
  <c r="N56" i="21"/>
  <c r="L57" i="21"/>
  <c r="N57" i="21"/>
  <c r="L58" i="21"/>
  <c r="N58" i="21"/>
  <c r="L59" i="21"/>
  <c r="N59" i="21"/>
  <c r="L60" i="21"/>
  <c r="N60" i="21"/>
  <c r="L61" i="21"/>
  <c r="N61" i="21"/>
  <c r="L62" i="21"/>
  <c r="N62" i="21"/>
  <c r="L63" i="21"/>
  <c r="N63" i="21"/>
  <c r="L64" i="21"/>
  <c r="N64" i="21"/>
  <c r="L65" i="21"/>
  <c r="N65" i="21"/>
  <c r="L66" i="21"/>
  <c r="N66" i="21"/>
  <c r="L67" i="21"/>
  <c r="N67" i="21"/>
  <c r="L68" i="21"/>
  <c r="N68" i="21"/>
  <c r="L69" i="21"/>
  <c r="N69" i="21"/>
  <c r="L70" i="21"/>
  <c r="N70" i="21"/>
  <c r="L71" i="21"/>
  <c r="N71" i="21"/>
  <c r="L72" i="21"/>
  <c r="N72" i="21"/>
  <c r="L73" i="21"/>
  <c r="N73" i="21"/>
  <c r="D90" i="21"/>
  <c r="D91" i="21"/>
  <c r="D92" i="21"/>
  <c r="J94" i="21"/>
  <c r="L94" i="21"/>
  <c r="D97" i="21"/>
  <c r="O102" i="21"/>
  <c r="P102" i="21"/>
  <c r="M108" i="21"/>
  <c r="O108" i="21"/>
  <c r="M109" i="21"/>
  <c r="O109" i="21"/>
  <c r="M110" i="21"/>
  <c r="O110" i="21"/>
  <c r="M111" i="21"/>
  <c r="O111" i="21"/>
  <c r="M112" i="21"/>
  <c r="O112" i="21"/>
  <c r="M113" i="21"/>
  <c r="O113" i="21"/>
  <c r="M114" i="21"/>
  <c r="O114" i="21"/>
  <c r="M115" i="21"/>
  <c r="O115" i="21"/>
  <c r="M116" i="21"/>
  <c r="O116" i="21"/>
  <c r="M117" i="21"/>
  <c r="O117" i="21"/>
  <c r="M118" i="21"/>
  <c r="O118" i="21"/>
  <c r="M119" i="21"/>
  <c r="O119" i="21"/>
  <c r="M120" i="21"/>
  <c r="O120" i="21"/>
  <c r="M121" i="21"/>
  <c r="O121" i="21"/>
  <c r="M122" i="21"/>
  <c r="O122" i="21"/>
  <c r="M123" i="21"/>
  <c r="O123" i="21"/>
  <c r="M124" i="21"/>
  <c r="O124" i="21"/>
  <c r="M125" i="21"/>
  <c r="O125" i="21"/>
  <c r="M126" i="21"/>
  <c r="O126" i="21"/>
  <c r="M127" i="21"/>
  <c r="O127" i="21"/>
  <c r="M128" i="21"/>
  <c r="O128" i="21"/>
  <c r="M129" i="21"/>
  <c r="O129" i="21"/>
  <c r="M130" i="21"/>
  <c r="O130" i="21"/>
  <c r="M131" i="21"/>
  <c r="O131" i="21"/>
  <c r="M132" i="21"/>
  <c r="O132" i="21"/>
  <c r="M133" i="21"/>
  <c r="O133" i="21"/>
  <c r="M134" i="21"/>
  <c r="O134" i="21"/>
  <c r="M135" i="21"/>
  <c r="O135" i="21"/>
  <c r="M136" i="21"/>
  <c r="O136" i="21"/>
  <c r="M137" i="21"/>
  <c r="O137" i="21"/>
  <c r="M138" i="21"/>
  <c r="O138" i="21"/>
  <c r="M139" i="21"/>
  <c r="O139" i="21"/>
  <c r="M140" i="21"/>
  <c r="O140" i="21"/>
  <c r="M141" i="21"/>
  <c r="O141" i="21"/>
  <c r="M142" i="21"/>
  <c r="O142" i="21"/>
  <c r="M143" i="21"/>
  <c r="O143" i="21"/>
  <c r="M144" i="21"/>
  <c r="O144" i="21"/>
  <c r="M145" i="21"/>
  <c r="O145" i="21"/>
  <c r="M146" i="21"/>
  <c r="O146" i="21"/>
  <c r="M147" i="21"/>
  <c r="O147" i="21"/>
  <c r="M148" i="21"/>
  <c r="O148" i="21"/>
  <c r="M149" i="21"/>
  <c r="O149" i="21"/>
  <c r="M150" i="21"/>
  <c r="O150" i="21"/>
  <c r="M151" i="21"/>
  <c r="O151" i="21"/>
  <c r="M152" i="21"/>
  <c r="O152" i="21"/>
  <c r="M153" i="21"/>
  <c r="O153" i="21"/>
  <c r="M154" i="21"/>
  <c r="O154" i="21"/>
  <c r="M155" i="21"/>
  <c r="O155" i="21"/>
  <c r="M17" i="19"/>
  <c r="P1" i="20"/>
  <c r="P84" i="20" s="1"/>
  <c r="H3" i="20"/>
  <c r="K11" i="20"/>
  <c r="B17" i="20"/>
  <c r="N17" i="20"/>
  <c r="O17" i="20" s="1"/>
  <c r="L18" i="20"/>
  <c r="N18" i="20"/>
  <c r="L19" i="20"/>
  <c r="N19" i="20"/>
  <c r="L20" i="20"/>
  <c r="N20" i="20"/>
  <c r="L21" i="20"/>
  <c r="N21" i="20"/>
  <c r="L22" i="20"/>
  <c r="N22" i="20"/>
  <c r="L23" i="20"/>
  <c r="N23" i="20"/>
  <c r="L24" i="20"/>
  <c r="N24" i="20"/>
  <c r="L25" i="20"/>
  <c r="N25" i="20"/>
  <c r="L26" i="20"/>
  <c r="N26" i="20"/>
  <c r="L27" i="20"/>
  <c r="N27" i="20"/>
  <c r="L28" i="20"/>
  <c r="N28" i="20"/>
  <c r="L29" i="20"/>
  <c r="N29" i="20"/>
  <c r="L30" i="20"/>
  <c r="N30" i="20"/>
  <c r="L31" i="20"/>
  <c r="N31" i="20"/>
  <c r="L33" i="20"/>
  <c r="N33" i="20"/>
  <c r="L34" i="20"/>
  <c r="N34" i="20"/>
  <c r="L35" i="20"/>
  <c r="N35" i="20"/>
  <c r="L36" i="20"/>
  <c r="N36" i="20"/>
  <c r="L37" i="20"/>
  <c r="N37" i="20"/>
  <c r="L38" i="20"/>
  <c r="N38" i="20"/>
  <c r="L39" i="20"/>
  <c r="N39" i="20"/>
  <c r="L40" i="20"/>
  <c r="N40" i="20"/>
  <c r="L41" i="20"/>
  <c r="N41" i="20"/>
  <c r="L42" i="20"/>
  <c r="N42" i="20"/>
  <c r="L43" i="20"/>
  <c r="N43" i="20"/>
  <c r="L44" i="20"/>
  <c r="N44" i="20"/>
  <c r="L45" i="20"/>
  <c r="N45" i="20"/>
  <c r="L46" i="20"/>
  <c r="N46" i="20"/>
  <c r="L47" i="20"/>
  <c r="N47" i="20"/>
  <c r="L48" i="20"/>
  <c r="N48" i="20"/>
  <c r="L49" i="20"/>
  <c r="N49" i="20"/>
  <c r="L50" i="20"/>
  <c r="N50" i="20"/>
  <c r="L51" i="20"/>
  <c r="N51" i="20"/>
  <c r="L52" i="20"/>
  <c r="N52" i="20"/>
  <c r="L53" i="20"/>
  <c r="N53" i="20"/>
  <c r="L54" i="20"/>
  <c r="N54" i="20"/>
  <c r="L55" i="20"/>
  <c r="N55" i="20"/>
  <c r="L56" i="20"/>
  <c r="N56" i="20"/>
  <c r="L57" i="20"/>
  <c r="N57" i="20"/>
  <c r="L58" i="20"/>
  <c r="N58" i="20"/>
  <c r="L59" i="20"/>
  <c r="N59" i="20"/>
  <c r="L60" i="20"/>
  <c r="N60" i="20"/>
  <c r="L61" i="20"/>
  <c r="N61" i="20"/>
  <c r="L62" i="20"/>
  <c r="N62" i="20"/>
  <c r="L63" i="20"/>
  <c r="N63" i="20"/>
  <c r="L64" i="20"/>
  <c r="N64" i="20"/>
  <c r="L65" i="20"/>
  <c r="N65" i="20"/>
  <c r="L66" i="20"/>
  <c r="N66" i="20"/>
  <c r="L67" i="20"/>
  <c r="N67" i="20"/>
  <c r="L68" i="20"/>
  <c r="N68" i="20"/>
  <c r="L69" i="20"/>
  <c r="N69" i="20"/>
  <c r="L70" i="20"/>
  <c r="N70" i="20"/>
  <c r="L71" i="20"/>
  <c r="N71" i="20"/>
  <c r="L72" i="20"/>
  <c r="N72" i="20"/>
  <c r="L73" i="20"/>
  <c r="N73" i="20"/>
  <c r="D90" i="20"/>
  <c r="D92" i="20"/>
  <c r="J94" i="20"/>
  <c r="L94" i="20"/>
  <c r="D97" i="20"/>
  <c r="M100" i="20"/>
  <c r="O100" i="20"/>
  <c r="M101" i="20"/>
  <c r="O101" i="20"/>
  <c r="M102" i="20"/>
  <c r="O102" i="20"/>
  <c r="M103" i="20"/>
  <c r="O103" i="20"/>
  <c r="M104" i="20"/>
  <c r="O104" i="20"/>
  <c r="M105" i="20"/>
  <c r="O105" i="20"/>
  <c r="M106" i="20"/>
  <c r="O106" i="20"/>
  <c r="M107" i="20"/>
  <c r="O107" i="20"/>
  <c r="M108" i="20"/>
  <c r="O108" i="20"/>
  <c r="M109" i="20"/>
  <c r="O109" i="20"/>
  <c r="M110" i="20"/>
  <c r="O110" i="20"/>
  <c r="M111" i="20"/>
  <c r="O111" i="20"/>
  <c r="M112" i="20"/>
  <c r="O112" i="20"/>
  <c r="M113" i="20"/>
  <c r="O113" i="20"/>
  <c r="M114" i="20"/>
  <c r="O114" i="20"/>
  <c r="M115" i="20"/>
  <c r="O115" i="20"/>
  <c r="M116" i="20"/>
  <c r="O116" i="20"/>
  <c r="M117" i="20"/>
  <c r="O117" i="20"/>
  <c r="M118" i="20"/>
  <c r="O118" i="20"/>
  <c r="M119" i="20"/>
  <c r="O119" i="20"/>
  <c r="M120" i="20"/>
  <c r="O120" i="20"/>
  <c r="M121" i="20"/>
  <c r="O121" i="20"/>
  <c r="M122" i="20"/>
  <c r="O122" i="20"/>
  <c r="M123" i="20"/>
  <c r="O123" i="20"/>
  <c r="M124" i="20"/>
  <c r="O124" i="20"/>
  <c r="M125" i="20"/>
  <c r="O125" i="20"/>
  <c r="M126" i="20"/>
  <c r="O126" i="20"/>
  <c r="M127" i="20"/>
  <c r="O127" i="20"/>
  <c r="M128" i="20"/>
  <c r="O128" i="20"/>
  <c r="M129" i="20"/>
  <c r="O129" i="20"/>
  <c r="M130" i="20"/>
  <c r="O130" i="20"/>
  <c r="M131" i="20"/>
  <c r="O131" i="20"/>
  <c r="M132" i="20"/>
  <c r="O132" i="20"/>
  <c r="M133" i="20"/>
  <c r="O133" i="20"/>
  <c r="M134" i="20"/>
  <c r="O134" i="20"/>
  <c r="M135" i="20"/>
  <c r="O135" i="20"/>
  <c r="M136" i="20"/>
  <c r="O136" i="20"/>
  <c r="M137" i="20"/>
  <c r="O137" i="20"/>
  <c r="M138" i="20"/>
  <c r="O138" i="20"/>
  <c r="M139" i="20"/>
  <c r="O139" i="20"/>
  <c r="M140" i="20"/>
  <c r="O140" i="20"/>
  <c r="M141" i="20"/>
  <c r="O141" i="20"/>
  <c r="M142" i="20"/>
  <c r="O142" i="20"/>
  <c r="M143" i="20"/>
  <c r="O143" i="20"/>
  <c r="M144" i="20"/>
  <c r="O144" i="20"/>
  <c r="M145" i="20"/>
  <c r="O145" i="20"/>
  <c r="M146" i="20"/>
  <c r="O146" i="20"/>
  <c r="M147" i="20"/>
  <c r="O147" i="20"/>
  <c r="M148" i="20"/>
  <c r="O148" i="20"/>
  <c r="M149" i="20"/>
  <c r="O149" i="20"/>
  <c r="M150" i="20"/>
  <c r="O150" i="20"/>
  <c r="M151" i="20"/>
  <c r="O151" i="20"/>
  <c r="M152" i="20"/>
  <c r="O152" i="20"/>
  <c r="M153" i="20"/>
  <c r="O153" i="20"/>
  <c r="M154" i="20"/>
  <c r="O154" i="20"/>
  <c r="M155" i="20"/>
  <c r="O155" i="20"/>
  <c r="M17" i="18"/>
  <c r="N100" i="4"/>
  <c r="L100" i="4"/>
  <c r="M100" i="4"/>
  <c r="M18" i="4"/>
  <c r="N100" i="3"/>
  <c r="L100" i="3"/>
  <c r="M100" i="3" s="1"/>
  <c r="M18" i="3"/>
  <c r="C17" i="13"/>
  <c r="W21" i="17"/>
  <c r="W20" i="17"/>
  <c r="K17" i="3"/>
  <c r="K17" i="4"/>
  <c r="L17" i="4" s="1"/>
  <c r="O17" i="4" s="1"/>
  <c r="P1" i="19"/>
  <c r="P84" i="19" s="1"/>
  <c r="H3" i="19"/>
  <c r="K11" i="19"/>
  <c r="B17" i="19"/>
  <c r="I17" i="19"/>
  <c r="N17" i="19"/>
  <c r="O17" i="19"/>
  <c r="B18" i="19"/>
  <c r="N18" i="19"/>
  <c r="O18" i="19"/>
  <c r="N22" i="19"/>
  <c r="L28" i="19"/>
  <c r="N28" i="19"/>
  <c r="L29" i="19"/>
  <c r="N29" i="19"/>
  <c r="L30" i="19"/>
  <c r="N30" i="19"/>
  <c r="L34" i="19"/>
  <c r="N34" i="19"/>
  <c r="L35" i="19"/>
  <c r="N35" i="19"/>
  <c r="L36" i="19"/>
  <c r="N36" i="19"/>
  <c r="L37" i="19"/>
  <c r="N37" i="19"/>
  <c r="L38" i="19"/>
  <c r="N38" i="19"/>
  <c r="L39" i="19"/>
  <c r="N39" i="19"/>
  <c r="L40" i="19"/>
  <c r="N40" i="19"/>
  <c r="L41" i="19"/>
  <c r="N41" i="19"/>
  <c r="L42" i="19"/>
  <c r="N42" i="19"/>
  <c r="L43" i="19"/>
  <c r="N43" i="19"/>
  <c r="L44" i="19"/>
  <c r="N44" i="19"/>
  <c r="L45" i="19"/>
  <c r="N45" i="19"/>
  <c r="L46" i="19"/>
  <c r="N46" i="19"/>
  <c r="L47" i="19"/>
  <c r="N47" i="19"/>
  <c r="L48" i="19"/>
  <c r="N48" i="19"/>
  <c r="L49" i="19"/>
  <c r="N49" i="19"/>
  <c r="L50" i="19"/>
  <c r="N50" i="19"/>
  <c r="L51" i="19"/>
  <c r="N51" i="19"/>
  <c r="L52" i="19"/>
  <c r="N52" i="19"/>
  <c r="L53" i="19"/>
  <c r="N53" i="19"/>
  <c r="L54" i="19"/>
  <c r="N54" i="19"/>
  <c r="L55" i="19"/>
  <c r="N55" i="19"/>
  <c r="L56" i="19"/>
  <c r="N56" i="19"/>
  <c r="L57" i="19"/>
  <c r="N57" i="19"/>
  <c r="L58" i="19"/>
  <c r="N58" i="19"/>
  <c r="L59" i="19"/>
  <c r="N59" i="19"/>
  <c r="L60" i="19"/>
  <c r="N60" i="19"/>
  <c r="L61" i="19"/>
  <c r="N61" i="19"/>
  <c r="L62" i="19"/>
  <c r="N62" i="19"/>
  <c r="L63" i="19"/>
  <c r="N63" i="19"/>
  <c r="L64" i="19"/>
  <c r="N64" i="19"/>
  <c r="L65" i="19"/>
  <c r="N65" i="19"/>
  <c r="L66" i="19"/>
  <c r="N66" i="19"/>
  <c r="L67" i="19"/>
  <c r="N67" i="19"/>
  <c r="L68" i="19"/>
  <c r="N68" i="19"/>
  <c r="L69" i="19"/>
  <c r="N69" i="19"/>
  <c r="L70" i="19"/>
  <c r="N70" i="19"/>
  <c r="L71" i="19"/>
  <c r="N71" i="19"/>
  <c r="L72" i="19"/>
  <c r="N72" i="19"/>
  <c r="L73" i="19"/>
  <c r="N73" i="19"/>
  <c r="D90" i="19"/>
  <c r="D91" i="19"/>
  <c r="D92" i="19"/>
  <c r="J94" i="19"/>
  <c r="L94" i="19"/>
  <c r="D97" i="19"/>
  <c r="M100" i="19"/>
  <c r="P100" i="19"/>
  <c r="O100" i="19"/>
  <c r="M110" i="19"/>
  <c r="O110" i="19"/>
  <c r="M111" i="19"/>
  <c r="O111" i="19"/>
  <c r="M112" i="19"/>
  <c r="O112" i="19"/>
  <c r="M113" i="19"/>
  <c r="O113" i="19"/>
  <c r="M114" i="19"/>
  <c r="O114" i="19"/>
  <c r="M115" i="19"/>
  <c r="O115" i="19"/>
  <c r="M116" i="19"/>
  <c r="O116" i="19"/>
  <c r="M117" i="19"/>
  <c r="O117" i="19"/>
  <c r="M118" i="19"/>
  <c r="O118" i="19"/>
  <c r="M119" i="19"/>
  <c r="O119" i="19"/>
  <c r="M120" i="19"/>
  <c r="O120" i="19"/>
  <c r="M121" i="19"/>
  <c r="O121" i="19"/>
  <c r="M122" i="19"/>
  <c r="O122" i="19"/>
  <c r="M123" i="19"/>
  <c r="O123" i="19"/>
  <c r="M124" i="19"/>
  <c r="O124" i="19"/>
  <c r="M125" i="19"/>
  <c r="O125" i="19"/>
  <c r="M126" i="19"/>
  <c r="O126" i="19"/>
  <c r="M127" i="19"/>
  <c r="O127" i="19"/>
  <c r="M128" i="19"/>
  <c r="O128" i="19"/>
  <c r="M129" i="19"/>
  <c r="O129" i="19"/>
  <c r="M130" i="19"/>
  <c r="O130" i="19"/>
  <c r="M131" i="19"/>
  <c r="O131" i="19"/>
  <c r="M132" i="19"/>
  <c r="O132" i="19"/>
  <c r="M133" i="19"/>
  <c r="O133" i="19"/>
  <c r="M134" i="19"/>
  <c r="O134" i="19"/>
  <c r="M135" i="19"/>
  <c r="O135" i="19"/>
  <c r="M136" i="19"/>
  <c r="O136" i="19"/>
  <c r="M137" i="19"/>
  <c r="O137" i="19"/>
  <c r="M138" i="19"/>
  <c r="O138" i="19"/>
  <c r="M139" i="19"/>
  <c r="O139" i="19"/>
  <c r="M140" i="19"/>
  <c r="O140" i="19"/>
  <c r="M141" i="19"/>
  <c r="O141" i="19"/>
  <c r="M142" i="19"/>
  <c r="O142" i="19"/>
  <c r="M143" i="19"/>
  <c r="O143" i="19"/>
  <c r="M144" i="19"/>
  <c r="O144" i="19"/>
  <c r="M145" i="19"/>
  <c r="O145" i="19"/>
  <c r="M146" i="19"/>
  <c r="O146" i="19"/>
  <c r="M147" i="19"/>
  <c r="O147" i="19"/>
  <c r="M148" i="19"/>
  <c r="O148" i="19"/>
  <c r="M149" i="19"/>
  <c r="O149" i="19"/>
  <c r="M150" i="19"/>
  <c r="O150" i="19"/>
  <c r="M151" i="19"/>
  <c r="O151" i="19"/>
  <c r="M152" i="19"/>
  <c r="O152" i="19"/>
  <c r="M153" i="19"/>
  <c r="O153" i="19"/>
  <c r="M154" i="19"/>
  <c r="O154" i="19"/>
  <c r="M155" i="19"/>
  <c r="O155" i="19"/>
  <c r="I17" i="18"/>
  <c r="P1" i="18"/>
  <c r="P84" i="18" s="1"/>
  <c r="H3" i="18"/>
  <c r="K11" i="18"/>
  <c r="B17" i="18"/>
  <c r="L17" i="18"/>
  <c r="N17" i="18"/>
  <c r="O17" i="18" s="1"/>
  <c r="B18" i="18"/>
  <c r="N18" i="18"/>
  <c r="O18" i="18" s="1"/>
  <c r="N22" i="18"/>
  <c r="L28" i="18"/>
  <c r="N28" i="18"/>
  <c r="L29" i="18"/>
  <c r="N29" i="18"/>
  <c r="L30" i="18"/>
  <c r="N30" i="18"/>
  <c r="L34" i="18"/>
  <c r="N34" i="18"/>
  <c r="L35" i="18"/>
  <c r="N35" i="18"/>
  <c r="L36" i="18"/>
  <c r="N36" i="18"/>
  <c r="L37" i="18"/>
  <c r="N37" i="18"/>
  <c r="L38" i="18"/>
  <c r="N38" i="18"/>
  <c r="L39" i="18"/>
  <c r="N39" i="18"/>
  <c r="L40" i="18"/>
  <c r="N40" i="18"/>
  <c r="L41" i="18"/>
  <c r="N41" i="18"/>
  <c r="L42" i="18"/>
  <c r="N42" i="18"/>
  <c r="L43" i="18"/>
  <c r="N43" i="18"/>
  <c r="L44" i="18"/>
  <c r="N44" i="18"/>
  <c r="L45" i="18"/>
  <c r="N45" i="18"/>
  <c r="L46" i="18"/>
  <c r="N46" i="18"/>
  <c r="L47" i="18"/>
  <c r="N47" i="18"/>
  <c r="L48" i="18"/>
  <c r="N48" i="18"/>
  <c r="L49" i="18"/>
  <c r="N49" i="18"/>
  <c r="L50" i="18"/>
  <c r="N50" i="18"/>
  <c r="L51" i="18"/>
  <c r="N51" i="18"/>
  <c r="L52" i="18"/>
  <c r="N52" i="18"/>
  <c r="L53" i="18"/>
  <c r="N53" i="18"/>
  <c r="L54" i="18"/>
  <c r="N54" i="18"/>
  <c r="L55" i="18"/>
  <c r="N55" i="18"/>
  <c r="L56" i="18"/>
  <c r="N56" i="18"/>
  <c r="L57" i="18"/>
  <c r="N57" i="18"/>
  <c r="L58" i="18"/>
  <c r="N58" i="18"/>
  <c r="L59" i="18"/>
  <c r="N59" i="18"/>
  <c r="L60" i="18"/>
  <c r="N60" i="18"/>
  <c r="L61" i="18"/>
  <c r="N61" i="18"/>
  <c r="L62" i="18"/>
  <c r="N62" i="18"/>
  <c r="L63" i="18"/>
  <c r="N63" i="18"/>
  <c r="L64" i="18"/>
  <c r="N64" i="18"/>
  <c r="L65" i="18"/>
  <c r="N65" i="18"/>
  <c r="L66" i="18"/>
  <c r="N66" i="18"/>
  <c r="L67" i="18"/>
  <c r="N67" i="18"/>
  <c r="L68" i="18"/>
  <c r="N68" i="18"/>
  <c r="L69" i="18"/>
  <c r="N69" i="18"/>
  <c r="L70" i="18"/>
  <c r="N70" i="18"/>
  <c r="L71" i="18"/>
  <c r="N71" i="18"/>
  <c r="L72" i="18"/>
  <c r="N72" i="18"/>
  <c r="L73" i="18"/>
  <c r="N73" i="18"/>
  <c r="D90" i="18"/>
  <c r="D92" i="18"/>
  <c r="J94" i="18"/>
  <c r="L94" i="18"/>
  <c r="D97" i="18"/>
  <c r="M100" i="18"/>
  <c r="O100" i="18"/>
  <c r="O108" i="18"/>
  <c r="O109" i="18"/>
  <c r="M110" i="18"/>
  <c r="O110" i="18"/>
  <c r="M111" i="18"/>
  <c r="O111" i="18"/>
  <c r="M112" i="18"/>
  <c r="O112" i="18"/>
  <c r="M113" i="18"/>
  <c r="O113" i="18"/>
  <c r="M114" i="18"/>
  <c r="O114" i="18"/>
  <c r="M115" i="18"/>
  <c r="O115" i="18"/>
  <c r="M116" i="18"/>
  <c r="O116" i="18"/>
  <c r="M117" i="18"/>
  <c r="O117" i="18"/>
  <c r="M118" i="18"/>
  <c r="O118" i="18"/>
  <c r="M119" i="18"/>
  <c r="O119" i="18"/>
  <c r="M120" i="18"/>
  <c r="O120" i="18"/>
  <c r="M121" i="18"/>
  <c r="O121" i="18"/>
  <c r="M122" i="18"/>
  <c r="O122" i="18"/>
  <c r="M123" i="18"/>
  <c r="O123" i="18"/>
  <c r="M124" i="18"/>
  <c r="O124" i="18"/>
  <c r="M125" i="18"/>
  <c r="O125" i="18"/>
  <c r="M126" i="18"/>
  <c r="O126" i="18"/>
  <c r="M127" i="18"/>
  <c r="O127" i="18"/>
  <c r="M128" i="18"/>
  <c r="O128" i="18"/>
  <c r="M129" i="18"/>
  <c r="O129" i="18"/>
  <c r="M130" i="18"/>
  <c r="O130" i="18"/>
  <c r="M131" i="18"/>
  <c r="O131" i="18"/>
  <c r="M132" i="18"/>
  <c r="O132" i="18"/>
  <c r="M133" i="18"/>
  <c r="O133" i="18"/>
  <c r="M134" i="18"/>
  <c r="O134" i="18"/>
  <c r="M135" i="18"/>
  <c r="O135" i="18"/>
  <c r="M136" i="18"/>
  <c r="O136" i="18"/>
  <c r="M137" i="18"/>
  <c r="O137" i="18"/>
  <c r="M138" i="18"/>
  <c r="O138" i="18"/>
  <c r="M139" i="18"/>
  <c r="O139" i="18"/>
  <c r="M140" i="18"/>
  <c r="O140" i="18"/>
  <c r="M141" i="18"/>
  <c r="O141" i="18"/>
  <c r="M142" i="18"/>
  <c r="O142" i="18"/>
  <c r="M143" i="18"/>
  <c r="O143" i="18"/>
  <c r="M144" i="18"/>
  <c r="O144" i="18"/>
  <c r="M145" i="18"/>
  <c r="O145" i="18"/>
  <c r="M146" i="18"/>
  <c r="O146" i="18"/>
  <c r="M147" i="18"/>
  <c r="O147" i="18"/>
  <c r="M148" i="18"/>
  <c r="O148" i="18"/>
  <c r="M149" i="18"/>
  <c r="O149" i="18"/>
  <c r="M150" i="18"/>
  <c r="O150" i="18"/>
  <c r="M151" i="18"/>
  <c r="O151" i="18"/>
  <c r="M152" i="18"/>
  <c r="O152" i="18"/>
  <c r="M153" i="18"/>
  <c r="O153" i="18"/>
  <c r="M154" i="18"/>
  <c r="O154" i="18"/>
  <c r="M155" i="18"/>
  <c r="O155" i="18"/>
  <c r="B17" i="3"/>
  <c r="B17" i="4"/>
  <c r="M17" i="4"/>
  <c r="B101" i="4"/>
  <c r="B100" i="4"/>
  <c r="B19" i="4"/>
  <c r="B18" i="4"/>
  <c r="B19" i="3"/>
  <c r="B18" i="3"/>
  <c r="B100" i="3"/>
  <c r="M17" i="3"/>
  <c r="N17" i="3"/>
  <c r="O17" i="3" s="1"/>
  <c r="P1" i="13"/>
  <c r="P84" i="13" s="1"/>
  <c r="P1" i="4"/>
  <c r="P84" i="4" s="1"/>
  <c r="P1" i="3"/>
  <c r="P84" i="3" s="1"/>
  <c r="P12" i="17"/>
  <c r="R12" i="17"/>
  <c r="L12" i="17"/>
  <c r="W19" i="17"/>
  <c r="W18" i="17"/>
  <c r="G12" i="17"/>
  <c r="T12" i="17" s="1"/>
  <c r="H3" i="3"/>
  <c r="H3" i="4"/>
  <c r="D91" i="4"/>
  <c r="D91" i="3"/>
  <c r="O3" i="3"/>
  <c r="A1" i="2"/>
  <c r="F13" i="1"/>
  <c r="C38" i="1" s="1"/>
  <c r="I11" i="13"/>
  <c r="K11" i="13"/>
  <c r="L17" i="13"/>
  <c r="N17" i="13"/>
  <c r="L18" i="13"/>
  <c r="N18" i="13"/>
  <c r="L19" i="13"/>
  <c r="N19" i="13"/>
  <c r="L20" i="13"/>
  <c r="N20" i="13"/>
  <c r="L21" i="13"/>
  <c r="N21" i="13"/>
  <c r="L22" i="13"/>
  <c r="N22" i="13"/>
  <c r="L23" i="13"/>
  <c r="N23" i="13"/>
  <c r="L24" i="13"/>
  <c r="N24" i="13"/>
  <c r="L25" i="13"/>
  <c r="N25" i="13"/>
  <c r="L26" i="13"/>
  <c r="N26" i="13"/>
  <c r="L27" i="13"/>
  <c r="N27" i="13"/>
  <c r="L28" i="13"/>
  <c r="N28" i="13"/>
  <c r="L29" i="13"/>
  <c r="N29" i="13"/>
  <c r="L30" i="13"/>
  <c r="N30" i="13"/>
  <c r="L31" i="13"/>
  <c r="N31" i="13"/>
  <c r="L32" i="13"/>
  <c r="N32" i="13"/>
  <c r="L33" i="13"/>
  <c r="N33" i="13"/>
  <c r="L34" i="13"/>
  <c r="N34" i="13"/>
  <c r="L35" i="13"/>
  <c r="N35" i="13"/>
  <c r="L36" i="13"/>
  <c r="N36" i="13"/>
  <c r="L37" i="13"/>
  <c r="N37" i="13"/>
  <c r="L38" i="13"/>
  <c r="N38" i="13"/>
  <c r="L39" i="13"/>
  <c r="N39" i="13"/>
  <c r="L40" i="13"/>
  <c r="N40" i="13"/>
  <c r="L41" i="13"/>
  <c r="N41" i="13"/>
  <c r="L42" i="13"/>
  <c r="N42" i="13"/>
  <c r="L43" i="13"/>
  <c r="N43" i="13"/>
  <c r="L44" i="13"/>
  <c r="N44" i="13"/>
  <c r="L45" i="13"/>
  <c r="N45" i="13"/>
  <c r="L46" i="13"/>
  <c r="N46" i="13"/>
  <c r="L47" i="13"/>
  <c r="N47" i="13"/>
  <c r="L48" i="13"/>
  <c r="N48" i="13"/>
  <c r="L49" i="13"/>
  <c r="N49" i="13"/>
  <c r="L50" i="13"/>
  <c r="N50" i="13"/>
  <c r="L51" i="13"/>
  <c r="N51" i="13"/>
  <c r="L52" i="13"/>
  <c r="N52" i="13"/>
  <c r="L53" i="13"/>
  <c r="N53" i="13"/>
  <c r="L54" i="13"/>
  <c r="N54" i="13"/>
  <c r="L55" i="13"/>
  <c r="N55" i="13"/>
  <c r="L56" i="13"/>
  <c r="N56" i="13"/>
  <c r="L57" i="13"/>
  <c r="N57" i="13"/>
  <c r="L58" i="13"/>
  <c r="N58" i="13"/>
  <c r="L59" i="13"/>
  <c r="N59" i="13"/>
  <c r="L60" i="13"/>
  <c r="N60" i="13"/>
  <c r="L61" i="13"/>
  <c r="N61" i="13"/>
  <c r="L62" i="13"/>
  <c r="N62" i="13"/>
  <c r="L63" i="13"/>
  <c r="N63" i="13"/>
  <c r="L64" i="13"/>
  <c r="N64" i="13"/>
  <c r="L65" i="13"/>
  <c r="N65" i="13"/>
  <c r="L66" i="13"/>
  <c r="N66" i="13"/>
  <c r="L67" i="13"/>
  <c r="N67" i="13"/>
  <c r="L68" i="13"/>
  <c r="N68" i="13"/>
  <c r="L69" i="13"/>
  <c r="N69" i="13"/>
  <c r="L70" i="13"/>
  <c r="N70" i="13"/>
  <c r="L71" i="13"/>
  <c r="N71" i="13"/>
  <c r="D90" i="13"/>
  <c r="D92" i="13"/>
  <c r="J94" i="13"/>
  <c r="L94" i="13"/>
  <c r="D97" i="13"/>
  <c r="M100" i="13"/>
  <c r="O100" i="13"/>
  <c r="M101" i="13"/>
  <c r="O101" i="13"/>
  <c r="M102" i="13"/>
  <c r="O102" i="13"/>
  <c r="M103" i="13"/>
  <c r="O103" i="13"/>
  <c r="M104" i="13"/>
  <c r="O104" i="13"/>
  <c r="M105" i="13"/>
  <c r="O105" i="13"/>
  <c r="M106" i="13"/>
  <c r="O106" i="13"/>
  <c r="M107" i="13"/>
  <c r="O107" i="13"/>
  <c r="M108" i="13"/>
  <c r="O108" i="13"/>
  <c r="M109" i="13"/>
  <c r="O109"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J132" i="13"/>
  <c r="M132" i="13"/>
  <c r="O132" i="13"/>
  <c r="P132" i="13"/>
  <c r="J133" i="13"/>
  <c r="M133" i="13"/>
  <c r="O133" i="13"/>
  <c r="P133" i="13"/>
  <c r="J134" i="13"/>
  <c r="M134" i="13"/>
  <c r="O134" i="13"/>
  <c r="P134" i="13"/>
  <c r="J135" i="13"/>
  <c r="M135" i="13"/>
  <c r="O135" i="13"/>
  <c r="P135" i="13"/>
  <c r="J136" i="13"/>
  <c r="M136" i="13"/>
  <c r="O136" i="13"/>
  <c r="P136" i="13"/>
  <c r="J137" i="13"/>
  <c r="M137" i="13"/>
  <c r="O137" i="13"/>
  <c r="P137" i="13"/>
  <c r="J138" i="13"/>
  <c r="M138" i="13"/>
  <c r="O138" i="13"/>
  <c r="P138" i="13"/>
  <c r="J139" i="13"/>
  <c r="M139" i="13"/>
  <c r="O139" i="13"/>
  <c r="P139" i="13"/>
  <c r="J140" i="13"/>
  <c r="M140" i="13"/>
  <c r="O140" i="13"/>
  <c r="P140" i="13"/>
  <c r="J141" i="13"/>
  <c r="M141" i="13"/>
  <c r="O141" i="13"/>
  <c r="P141" i="13"/>
  <c r="J142" i="13"/>
  <c r="M142" i="13"/>
  <c r="O142" i="13"/>
  <c r="P142" i="13"/>
  <c r="J143" i="13"/>
  <c r="M143" i="13"/>
  <c r="O143" i="13"/>
  <c r="P143" i="13"/>
  <c r="J144" i="13"/>
  <c r="M144" i="13"/>
  <c r="O144" i="13"/>
  <c r="P144" i="13"/>
  <c r="J145" i="13"/>
  <c r="M145" i="13"/>
  <c r="O145" i="13"/>
  <c r="P145" i="13"/>
  <c r="J146" i="13"/>
  <c r="M146" i="13"/>
  <c r="O146" i="13"/>
  <c r="P146" i="13"/>
  <c r="J147" i="13"/>
  <c r="M147" i="13"/>
  <c r="O147" i="13"/>
  <c r="P147" i="13"/>
  <c r="J148" i="13"/>
  <c r="M148" i="13"/>
  <c r="O148" i="13"/>
  <c r="P148" i="13"/>
  <c r="J149" i="13"/>
  <c r="M149" i="13"/>
  <c r="O149" i="13"/>
  <c r="P149" i="13"/>
  <c r="J150" i="13"/>
  <c r="M150" i="13"/>
  <c r="O150" i="13"/>
  <c r="P150" i="13"/>
  <c r="J151" i="13"/>
  <c r="M151" i="13"/>
  <c r="O151" i="13"/>
  <c r="P151" i="13"/>
  <c r="J152" i="13"/>
  <c r="M152" i="13"/>
  <c r="O152" i="13"/>
  <c r="P152" i="13"/>
  <c r="J153" i="13"/>
  <c r="M153" i="13"/>
  <c r="O153" i="13"/>
  <c r="P153" i="13"/>
  <c r="J154" i="13"/>
  <c r="M154" i="13"/>
  <c r="O154" i="13"/>
  <c r="P154" i="13"/>
  <c r="J155" i="13"/>
  <c r="M155" i="13"/>
  <c r="O155" i="13"/>
  <c r="P155" i="13"/>
  <c r="K11" i="4"/>
  <c r="I17" i="4"/>
  <c r="N17" i="4"/>
  <c r="I18" i="4"/>
  <c r="L18" i="4"/>
  <c r="N18" i="4"/>
  <c r="O18" i="4"/>
  <c r="N19" i="4"/>
  <c r="O19" i="4" s="1"/>
  <c r="L29" i="4"/>
  <c r="N29" i="4"/>
  <c r="L30" i="4"/>
  <c r="N30" i="4"/>
  <c r="L31" i="4"/>
  <c r="N31" i="4"/>
  <c r="L33" i="4"/>
  <c r="N33" i="4"/>
  <c r="L34" i="4"/>
  <c r="N34" i="4"/>
  <c r="L35" i="4"/>
  <c r="N35" i="4"/>
  <c r="L36" i="4"/>
  <c r="N36" i="4"/>
  <c r="L37" i="4"/>
  <c r="N37" i="4"/>
  <c r="L38" i="4"/>
  <c r="N38" i="4"/>
  <c r="L39" i="4"/>
  <c r="N39" i="4"/>
  <c r="L40" i="4"/>
  <c r="N40" i="4"/>
  <c r="L41" i="4"/>
  <c r="N41" i="4"/>
  <c r="L42" i="4"/>
  <c r="N42" i="4"/>
  <c r="L43" i="4"/>
  <c r="N43" i="4"/>
  <c r="L44" i="4"/>
  <c r="N44" i="4"/>
  <c r="L45" i="4"/>
  <c r="N45" i="4"/>
  <c r="L46" i="4"/>
  <c r="N46" i="4"/>
  <c r="L47" i="4"/>
  <c r="N47" i="4"/>
  <c r="L48" i="4"/>
  <c r="N48" i="4"/>
  <c r="L49" i="4"/>
  <c r="N49" i="4"/>
  <c r="L50" i="4"/>
  <c r="N50" i="4"/>
  <c r="L51" i="4"/>
  <c r="N51" i="4"/>
  <c r="L52" i="4"/>
  <c r="N52" i="4"/>
  <c r="L53" i="4"/>
  <c r="N53" i="4"/>
  <c r="L54" i="4"/>
  <c r="N54" i="4"/>
  <c r="L55" i="4"/>
  <c r="N55" i="4"/>
  <c r="L56" i="4"/>
  <c r="N56" i="4"/>
  <c r="L57" i="4"/>
  <c r="N57" i="4"/>
  <c r="L58" i="4"/>
  <c r="N58" i="4"/>
  <c r="L59" i="4"/>
  <c r="N59" i="4"/>
  <c r="L60" i="4"/>
  <c r="N60" i="4"/>
  <c r="L61" i="4"/>
  <c r="N61" i="4"/>
  <c r="L62" i="4"/>
  <c r="N62" i="4"/>
  <c r="L63" i="4"/>
  <c r="N63" i="4"/>
  <c r="L64" i="4"/>
  <c r="N64" i="4"/>
  <c r="L65" i="4"/>
  <c r="N65" i="4"/>
  <c r="L66" i="4"/>
  <c r="N66" i="4"/>
  <c r="L67" i="4"/>
  <c r="N67" i="4"/>
  <c r="L68" i="4"/>
  <c r="N68" i="4"/>
  <c r="L69" i="4"/>
  <c r="N69" i="4"/>
  <c r="L70" i="4"/>
  <c r="N70" i="4"/>
  <c r="L71" i="4"/>
  <c r="N71" i="4"/>
  <c r="L72" i="4"/>
  <c r="N72" i="4"/>
  <c r="L73" i="4"/>
  <c r="N73" i="4"/>
  <c r="D90" i="4"/>
  <c r="D92" i="4"/>
  <c r="J94" i="4"/>
  <c r="L94" i="4"/>
  <c r="D97" i="4"/>
  <c r="O100" i="4"/>
  <c r="P100" i="4" s="1"/>
  <c r="M101" i="4"/>
  <c r="P101" i="4"/>
  <c r="O101" i="4"/>
  <c r="M111" i="4"/>
  <c r="O111" i="4"/>
  <c r="M112" i="4"/>
  <c r="O112" i="4"/>
  <c r="M113" i="4"/>
  <c r="O113" i="4"/>
  <c r="M114" i="4"/>
  <c r="O114" i="4"/>
  <c r="M115" i="4"/>
  <c r="O115" i="4"/>
  <c r="M116" i="4"/>
  <c r="O116" i="4"/>
  <c r="M117" i="4"/>
  <c r="O117" i="4"/>
  <c r="M118" i="4"/>
  <c r="O118" i="4"/>
  <c r="M119" i="4"/>
  <c r="O119" i="4"/>
  <c r="M120" i="4"/>
  <c r="O120" i="4"/>
  <c r="M121" i="4"/>
  <c r="O121" i="4"/>
  <c r="M122" i="4"/>
  <c r="O122" i="4"/>
  <c r="M123" i="4"/>
  <c r="O123" i="4"/>
  <c r="M124" i="4"/>
  <c r="O124" i="4"/>
  <c r="M125" i="4"/>
  <c r="O125" i="4"/>
  <c r="M126" i="4"/>
  <c r="O126" i="4"/>
  <c r="M127" i="4"/>
  <c r="O127" i="4"/>
  <c r="M128" i="4"/>
  <c r="O128" i="4"/>
  <c r="M129" i="4"/>
  <c r="O129" i="4"/>
  <c r="M130" i="4"/>
  <c r="O130" i="4"/>
  <c r="M131" i="4"/>
  <c r="O131" i="4"/>
  <c r="M132" i="4"/>
  <c r="O132" i="4"/>
  <c r="M133" i="4"/>
  <c r="O133" i="4"/>
  <c r="M134" i="4"/>
  <c r="O134" i="4"/>
  <c r="M135" i="4"/>
  <c r="O135" i="4"/>
  <c r="M136" i="4"/>
  <c r="O136" i="4"/>
  <c r="M137" i="4"/>
  <c r="O137" i="4"/>
  <c r="M138" i="4"/>
  <c r="O138" i="4"/>
  <c r="M139" i="4"/>
  <c r="O139" i="4"/>
  <c r="M140" i="4"/>
  <c r="O140" i="4"/>
  <c r="M141" i="4"/>
  <c r="O141" i="4"/>
  <c r="M142" i="4"/>
  <c r="O142" i="4"/>
  <c r="M143" i="4"/>
  <c r="O143" i="4"/>
  <c r="M144" i="4"/>
  <c r="O144" i="4"/>
  <c r="M145" i="4"/>
  <c r="O145" i="4"/>
  <c r="M146" i="4"/>
  <c r="O146" i="4"/>
  <c r="M147" i="4"/>
  <c r="O147" i="4"/>
  <c r="M148" i="4"/>
  <c r="O148" i="4"/>
  <c r="M149" i="4"/>
  <c r="O149" i="4"/>
  <c r="M150" i="4"/>
  <c r="O150" i="4"/>
  <c r="M151" i="4"/>
  <c r="O151" i="4"/>
  <c r="M152" i="4"/>
  <c r="O152" i="4"/>
  <c r="M153" i="4"/>
  <c r="O153" i="4"/>
  <c r="M154" i="4"/>
  <c r="O154" i="4"/>
  <c r="M155" i="4"/>
  <c r="O155" i="4"/>
  <c r="K11" i="3"/>
  <c r="I17" i="3"/>
  <c r="L17" i="3"/>
  <c r="I18" i="3"/>
  <c r="N18" i="3"/>
  <c r="O18" i="3"/>
  <c r="L29" i="3"/>
  <c r="N29" i="3"/>
  <c r="L30" i="3"/>
  <c r="N30" i="3"/>
  <c r="L44" i="3"/>
  <c r="N44" i="3"/>
  <c r="L45" i="3"/>
  <c r="N45" i="3"/>
  <c r="L46" i="3"/>
  <c r="N46" i="3"/>
  <c r="L47" i="3"/>
  <c r="N47" i="3"/>
  <c r="L48" i="3"/>
  <c r="N48" i="3"/>
  <c r="L49" i="3"/>
  <c r="N49" i="3"/>
  <c r="L50" i="3"/>
  <c r="N50" i="3"/>
  <c r="L51" i="3"/>
  <c r="N51" i="3"/>
  <c r="L52" i="3"/>
  <c r="N52" i="3"/>
  <c r="L53" i="3"/>
  <c r="N53" i="3"/>
  <c r="L54" i="3"/>
  <c r="N54" i="3"/>
  <c r="L55" i="3"/>
  <c r="N55" i="3"/>
  <c r="L56" i="3"/>
  <c r="N56" i="3"/>
  <c r="L57" i="3"/>
  <c r="N57" i="3"/>
  <c r="L58" i="3"/>
  <c r="N58" i="3"/>
  <c r="L59" i="3"/>
  <c r="N59" i="3"/>
  <c r="L60" i="3"/>
  <c r="N60" i="3"/>
  <c r="L61" i="3"/>
  <c r="N61" i="3"/>
  <c r="L62" i="3"/>
  <c r="N62" i="3"/>
  <c r="L63" i="3"/>
  <c r="N63" i="3"/>
  <c r="L64" i="3"/>
  <c r="N64" i="3"/>
  <c r="L65" i="3"/>
  <c r="N65" i="3"/>
  <c r="L66" i="3"/>
  <c r="N66" i="3"/>
  <c r="L67" i="3"/>
  <c r="N67" i="3"/>
  <c r="L68" i="3"/>
  <c r="N68" i="3"/>
  <c r="L69" i="3"/>
  <c r="N69" i="3"/>
  <c r="L70" i="3"/>
  <c r="N70" i="3"/>
  <c r="L71" i="3"/>
  <c r="N71" i="3"/>
  <c r="L72" i="3"/>
  <c r="N72" i="3"/>
  <c r="L73" i="3"/>
  <c r="N73" i="3"/>
  <c r="D90" i="3"/>
  <c r="D92" i="3"/>
  <c r="J94" i="3"/>
  <c r="L94" i="3"/>
  <c r="D97" i="3"/>
  <c r="O100" i="3"/>
  <c r="M101" i="3"/>
  <c r="P101" i="3"/>
  <c r="O101" i="3"/>
  <c r="M111" i="3"/>
  <c r="O111" i="3"/>
  <c r="M112" i="3"/>
  <c r="O112" i="3"/>
  <c r="M113" i="3"/>
  <c r="O113" i="3"/>
  <c r="M114" i="3"/>
  <c r="O114" i="3"/>
  <c r="M115" i="3"/>
  <c r="O115" i="3"/>
  <c r="M116" i="3"/>
  <c r="O116" i="3"/>
  <c r="M117" i="3"/>
  <c r="O117" i="3"/>
  <c r="M118" i="3"/>
  <c r="O118" i="3"/>
  <c r="M119" i="3"/>
  <c r="O119" i="3"/>
  <c r="M120" i="3"/>
  <c r="O120" i="3"/>
  <c r="M121" i="3"/>
  <c r="O121" i="3"/>
  <c r="M122" i="3"/>
  <c r="O122" i="3"/>
  <c r="M123" i="3"/>
  <c r="O123" i="3"/>
  <c r="M124" i="3"/>
  <c r="O124" i="3"/>
  <c r="M125" i="3"/>
  <c r="O125" i="3"/>
  <c r="M126" i="3"/>
  <c r="O126" i="3"/>
  <c r="M127" i="3"/>
  <c r="O127" i="3"/>
  <c r="M128" i="3"/>
  <c r="O128" i="3"/>
  <c r="M129" i="3"/>
  <c r="O129" i="3"/>
  <c r="M130" i="3"/>
  <c r="O130" i="3"/>
  <c r="M131" i="3"/>
  <c r="O131" i="3"/>
  <c r="M132" i="3"/>
  <c r="O132" i="3"/>
  <c r="M133" i="3"/>
  <c r="O133" i="3"/>
  <c r="M134" i="3"/>
  <c r="O134" i="3"/>
  <c r="M135" i="3"/>
  <c r="O135" i="3"/>
  <c r="M136" i="3"/>
  <c r="O136" i="3"/>
  <c r="M137" i="3"/>
  <c r="O137" i="3"/>
  <c r="M138" i="3"/>
  <c r="O138" i="3"/>
  <c r="M139" i="3"/>
  <c r="O139" i="3"/>
  <c r="M140" i="3"/>
  <c r="O140" i="3"/>
  <c r="M141" i="3"/>
  <c r="O141" i="3"/>
  <c r="M142" i="3"/>
  <c r="O142" i="3"/>
  <c r="M143" i="3"/>
  <c r="O143" i="3"/>
  <c r="M144" i="3"/>
  <c r="O144" i="3"/>
  <c r="M145" i="3"/>
  <c r="O145" i="3"/>
  <c r="M146" i="3"/>
  <c r="O146" i="3"/>
  <c r="M147" i="3"/>
  <c r="O147" i="3"/>
  <c r="M148" i="3"/>
  <c r="O148" i="3"/>
  <c r="M149" i="3"/>
  <c r="O149" i="3"/>
  <c r="M150" i="3"/>
  <c r="O150" i="3"/>
  <c r="M151" i="3"/>
  <c r="O151" i="3"/>
  <c r="M152" i="3"/>
  <c r="O152" i="3"/>
  <c r="M153" i="3"/>
  <c r="O153" i="3"/>
  <c r="M154" i="3"/>
  <c r="O154" i="3"/>
  <c r="M155" i="3"/>
  <c r="O155" i="3"/>
  <c r="C40" i="2"/>
  <c r="C52" i="2"/>
  <c r="E24" i="1"/>
  <c r="C39" i="1"/>
  <c r="C43" i="1"/>
  <c r="F44" i="1"/>
  <c r="C45" i="1"/>
  <c r="F46" i="1"/>
  <c r="C51" i="1"/>
  <c r="F63" i="1"/>
  <c r="C73" i="1"/>
  <c r="C87" i="1"/>
  <c r="S129" i="1"/>
  <c r="S130" i="1"/>
  <c r="S131" i="1"/>
  <c r="E31" i="2"/>
  <c r="D19" i="2"/>
  <c r="D18" i="2"/>
  <c r="D17" i="2"/>
  <c r="F13" i="2"/>
  <c r="C76" i="2" s="1"/>
  <c r="J100" i="4"/>
  <c r="J100" i="3"/>
  <c r="E18" i="2"/>
  <c r="E17" i="2"/>
  <c r="E24" i="2"/>
  <c r="F64" i="2"/>
  <c r="C90" i="2"/>
  <c r="C89" i="2"/>
  <c r="C64" i="2"/>
  <c r="C31" i="2"/>
  <c r="C24" i="2"/>
  <c r="C12" i="2"/>
  <c r="P100" i="18"/>
  <c r="B101" i="3"/>
  <c r="C101" i="3"/>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B100" i="18"/>
  <c r="B19" i="19"/>
  <c r="B18" i="20"/>
  <c r="B100" i="19"/>
  <c r="B21" i="4"/>
  <c r="B20" i="4"/>
  <c r="B20" i="3"/>
  <c r="B18" i="21"/>
  <c r="B19" i="18"/>
  <c r="C100" i="21"/>
  <c r="C101" i="21" s="1"/>
  <c r="C102" i="21" s="1"/>
  <c r="C103" i="21" s="1"/>
  <c r="C104" i="21" s="1"/>
  <c r="C105" i="21" s="1"/>
  <c r="C106" i="21" s="1"/>
  <c r="C107" i="21" s="1"/>
  <c r="C108" i="21" s="1"/>
  <c r="C109" i="21" s="1"/>
  <c r="C110" i="21" s="1"/>
  <c r="C111" i="21" s="1"/>
  <c r="C112" i="21" s="1"/>
  <c r="C113" i="21" s="1"/>
  <c r="C114" i="21" s="1"/>
  <c r="C115" i="21" s="1"/>
  <c r="C116" i="21" s="1"/>
  <c r="C117" i="21" s="1"/>
  <c r="C118" i="21" s="1"/>
  <c r="C119" i="21" s="1"/>
  <c r="C120" i="21" s="1"/>
  <c r="C121" i="21" s="1"/>
  <c r="C122" i="21" s="1"/>
  <c r="C123" i="21" s="1"/>
  <c r="C124" i="21" s="1"/>
  <c r="C125" i="21" s="1"/>
  <c r="C126" i="21" s="1"/>
  <c r="C127" i="21" s="1"/>
  <c r="C128" i="21" s="1"/>
  <c r="C129" i="21" s="1"/>
  <c r="C130" i="21" s="1"/>
  <c r="C131" i="21" s="1"/>
  <c r="C132" i="21" s="1"/>
  <c r="C133" i="21" s="1"/>
  <c r="C134" i="21" s="1"/>
  <c r="C135" i="21" s="1"/>
  <c r="C136" i="21" s="1"/>
  <c r="C137" i="21" s="1"/>
  <c r="C138" i="21" s="1"/>
  <c r="C139" i="21" s="1"/>
  <c r="C140" i="21" s="1"/>
  <c r="C141" i="21" s="1"/>
  <c r="C142" i="21" s="1"/>
  <c r="C143" i="21" s="1"/>
  <c r="C144" i="21" s="1"/>
  <c r="C145" i="21" s="1"/>
  <c r="C146" i="21" s="1"/>
  <c r="C147" i="21" s="1"/>
  <c r="C148" i="21" s="1"/>
  <c r="C149" i="21" s="1"/>
  <c r="C150" i="21" s="1"/>
  <c r="C151" i="21" s="1"/>
  <c r="C152" i="21" s="1"/>
  <c r="C153" i="21" s="1"/>
  <c r="C154" i="21" s="1"/>
  <c r="C155" i="21" s="1"/>
  <c r="B100" i="21"/>
  <c r="B102" i="3"/>
  <c r="B101" i="19"/>
  <c r="B102" i="4"/>
  <c r="B101" i="18"/>
  <c r="B101" i="21"/>
  <c r="B20" i="19"/>
  <c r="B20" i="18"/>
  <c r="B22" i="3"/>
  <c r="B20" i="21"/>
  <c r="B21" i="19"/>
  <c r="B103" i="4"/>
  <c r="B103" i="3"/>
  <c r="B102" i="19"/>
  <c r="B102" i="21"/>
  <c r="P102" i="19"/>
  <c r="O20" i="19"/>
  <c r="O20" i="18"/>
  <c r="B22" i="4"/>
  <c r="B23" i="3"/>
  <c r="C100" i="24"/>
  <c r="C101" i="24"/>
  <c r="C102" i="24" s="1"/>
  <c r="C103" i="24" s="1"/>
  <c r="C104" i="24" s="1"/>
  <c r="C105" i="24" s="1"/>
  <c r="C106" i="24" s="1"/>
  <c r="C107" i="24" s="1"/>
  <c r="C108" i="24" s="1"/>
  <c r="C109" i="24" s="1"/>
  <c r="C110" i="24" s="1"/>
  <c r="C111" i="24" s="1"/>
  <c r="C112" i="24" s="1"/>
  <c r="C113" i="24" s="1"/>
  <c r="C114" i="24" s="1"/>
  <c r="C115" i="24" s="1"/>
  <c r="C116" i="24" s="1"/>
  <c r="C117" i="24" s="1"/>
  <c r="C118" i="24" s="1"/>
  <c r="C119" i="24" s="1"/>
  <c r="C120" i="24" s="1"/>
  <c r="C121" i="24" s="1"/>
  <c r="C122" i="24" s="1"/>
  <c r="C123" i="24" s="1"/>
  <c r="C124" i="24" s="1"/>
  <c r="C125" i="24" s="1"/>
  <c r="C126" i="24" s="1"/>
  <c r="C127" i="24" s="1"/>
  <c r="B23" i="4"/>
  <c r="B102" i="18"/>
  <c r="M17" i="28"/>
  <c r="N17" i="28" s="1"/>
  <c r="K17" i="28"/>
  <c r="L17" i="28" s="1"/>
  <c r="C100" i="26"/>
  <c r="C101" i="26" s="1"/>
  <c r="C102" i="26" s="1"/>
  <c r="C103" i="26" s="1"/>
  <c r="C104" i="26" s="1"/>
  <c r="C105" i="26" s="1"/>
  <c r="C106" i="26" s="1"/>
  <c r="C107" i="26" s="1"/>
  <c r="C108" i="26" s="1"/>
  <c r="C109" i="26" s="1"/>
  <c r="C110" i="26" s="1"/>
  <c r="C111" i="26" s="1"/>
  <c r="C112" i="26" s="1"/>
  <c r="C113" i="26" s="1"/>
  <c r="C114" i="26" s="1"/>
  <c r="C115" i="26" s="1"/>
  <c r="C116" i="26" s="1"/>
  <c r="C117" i="26" s="1"/>
  <c r="C118" i="26" s="1"/>
  <c r="C119" i="26" s="1"/>
  <c r="C120" i="26" s="1"/>
  <c r="C121" i="26" s="1"/>
  <c r="C122" i="26" s="1"/>
  <c r="C123" i="26" s="1"/>
  <c r="C124" i="26" s="1"/>
  <c r="C125" i="26" s="1"/>
  <c r="C126" i="26" s="1"/>
  <c r="C127" i="26" s="1"/>
  <c r="C128" i="26" s="1"/>
  <c r="C129" i="26" s="1"/>
  <c r="C130" i="26" s="1"/>
  <c r="C131" i="26" s="1"/>
  <c r="C132" i="26" s="1"/>
  <c r="C133" i="26" s="1"/>
  <c r="C134" i="26" s="1"/>
  <c r="C135" i="26" s="1"/>
  <c r="C136" i="26" s="1"/>
  <c r="C137" i="26" s="1"/>
  <c r="C138" i="26" s="1"/>
  <c r="C139" i="26" s="1"/>
  <c r="C140" i="26" s="1"/>
  <c r="C141" i="26" s="1"/>
  <c r="C142" i="26" s="1"/>
  <c r="C143" i="26" s="1"/>
  <c r="C144" i="26" s="1"/>
  <c r="C145" i="26" s="1"/>
  <c r="C146" i="26" s="1"/>
  <c r="C147" i="26" s="1"/>
  <c r="C148" i="26" s="1"/>
  <c r="C149" i="26" s="1"/>
  <c r="C150" i="26" s="1"/>
  <c r="C151" i="26" s="1"/>
  <c r="C152" i="26" s="1"/>
  <c r="C153" i="26" s="1"/>
  <c r="C154" i="26" s="1"/>
  <c r="C155" i="26" s="1"/>
  <c r="J102" i="18"/>
  <c r="I22" i="3"/>
  <c r="B105" i="3"/>
  <c r="B104" i="3"/>
  <c r="B103" i="18"/>
  <c r="B104" i="4"/>
  <c r="B100" i="25"/>
  <c r="E13" i="17"/>
  <c r="H3" i="17"/>
  <c r="B105" i="4"/>
  <c r="B103" i="19"/>
  <c r="B22" i="18"/>
  <c r="P100" i="28"/>
  <c r="P101" i="27"/>
  <c r="P100" i="26"/>
  <c r="P100" i="24"/>
  <c r="B104" i="19"/>
  <c r="P105" i="4"/>
  <c r="O20" i="3"/>
  <c r="O21" i="3"/>
  <c r="O100" i="31"/>
  <c r="J105" i="4"/>
  <c r="B104" i="18"/>
  <c r="O19" i="22"/>
  <c r="O19" i="23"/>
  <c r="O18" i="25"/>
  <c r="O20" i="24"/>
  <c r="O19" i="26"/>
  <c r="O22" i="18"/>
  <c r="O20" i="21"/>
  <c r="O20" i="28"/>
  <c r="O17" i="29"/>
  <c r="B20" i="26"/>
  <c r="O23" i="3"/>
  <c r="O22" i="19"/>
  <c r="B103" i="24"/>
  <c r="B20" i="22"/>
  <c r="B20" i="23"/>
  <c r="B21" i="27"/>
  <c r="B102" i="26"/>
  <c r="J104" i="18"/>
  <c r="I20" i="27"/>
  <c r="I20" i="28"/>
  <c r="I19" i="26"/>
  <c r="I19" i="22"/>
  <c r="B21" i="21"/>
  <c r="B23" i="19"/>
  <c r="I23" i="3"/>
  <c r="B105" i="19"/>
  <c r="I22" i="18"/>
  <c r="I17" i="29"/>
  <c r="B24" i="3"/>
  <c r="B21" i="24"/>
  <c r="I19" i="23"/>
  <c r="I22" i="19"/>
  <c r="I20" i="24"/>
  <c r="B23" i="18"/>
  <c r="I20" i="21"/>
  <c r="B24" i="4"/>
  <c r="I23" i="4"/>
  <c r="J105" i="3"/>
  <c r="I18" i="25"/>
  <c r="B17" i="35"/>
  <c r="C45" i="34"/>
  <c r="C46" i="34" s="1"/>
  <c r="C47" i="34" s="1"/>
  <c r="C48" i="34" s="1"/>
  <c r="C49" i="34" s="1"/>
  <c r="C50" i="34" s="1"/>
  <c r="C51" i="34" s="1"/>
  <c r="C52" i="34" s="1"/>
  <c r="C53" i="34" s="1"/>
  <c r="C54" i="34" s="1"/>
  <c r="C55" i="34" s="1"/>
  <c r="C56" i="34" s="1"/>
  <c r="C57" i="34" s="1"/>
  <c r="C58" i="34" s="1"/>
  <c r="C59" i="34" s="1"/>
  <c r="C60" i="34" s="1"/>
  <c r="C61" i="34" s="1"/>
  <c r="C62" i="34" s="1"/>
  <c r="C63" i="34" s="1"/>
  <c r="C64" i="34" s="1"/>
  <c r="C65" i="34" s="1"/>
  <c r="C66" i="34" s="1"/>
  <c r="C67" i="34" s="1"/>
  <c r="C68" i="34" s="1"/>
  <c r="C69" i="34" s="1"/>
  <c r="C70" i="34" s="1"/>
  <c r="C71" i="34" s="1"/>
  <c r="C72" i="34" s="1"/>
  <c r="B19" i="25"/>
  <c r="B103" i="28"/>
  <c r="B103" i="27"/>
  <c r="P102" i="24"/>
  <c r="P100" i="25"/>
  <c r="B101" i="25"/>
  <c r="P101" i="23"/>
  <c r="B103" i="21"/>
  <c r="P105" i="3"/>
  <c r="C18" i="13"/>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C54" i="13" s="1"/>
  <c r="C55" i="13" s="1"/>
  <c r="C56" i="13" s="1"/>
  <c r="C57" i="13" s="1"/>
  <c r="C58" i="13" s="1"/>
  <c r="C59" i="13" s="1"/>
  <c r="C60" i="13" s="1"/>
  <c r="C61" i="13" s="1"/>
  <c r="C62" i="13" s="1"/>
  <c r="C63" i="13" s="1"/>
  <c r="C64" i="13" s="1"/>
  <c r="C65" i="13" s="1"/>
  <c r="C66" i="13" s="1"/>
  <c r="C67" i="13" s="1"/>
  <c r="C68" i="13" s="1"/>
  <c r="C69" i="13" s="1"/>
  <c r="C70" i="13" s="1"/>
  <c r="C71" i="13" s="1"/>
  <c r="C72" i="13" s="1"/>
  <c r="B17" i="13"/>
  <c r="I14" i="13"/>
  <c r="E17" i="13"/>
  <c r="F17" i="13" s="1"/>
  <c r="D18" i="13" s="1"/>
  <c r="B18" i="13" s="1"/>
  <c r="B102" i="22"/>
  <c r="A5" i="2"/>
  <c r="C28" i="2"/>
  <c r="B104" i="27"/>
  <c r="B103" i="26"/>
  <c r="B104" i="21"/>
  <c r="B106" i="19"/>
  <c r="B104" i="28"/>
  <c r="B22" i="24"/>
  <c r="B24" i="19"/>
  <c r="B21" i="23"/>
  <c r="B18" i="34"/>
  <c r="J103" i="24"/>
  <c r="J103" i="28"/>
  <c r="J102" i="26"/>
  <c r="J101" i="25"/>
  <c r="J103" i="27"/>
  <c r="J103" i="21"/>
  <c r="J105" i="19"/>
  <c r="B25" i="4"/>
  <c r="I17" i="34"/>
  <c r="I23" i="18"/>
  <c r="I23" i="19"/>
  <c r="I17" i="31"/>
  <c r="I21" i="24"/>
  <c r="I18" i="29"/>
  <c r="I24" i="3"/>
  <c r="I20" i="26"/>
  <c r="B18" i="31"/>
  <c r="I19" i="25"/>
  <c r="I21" i="21"/>
  <c r="B25" i="3"/>
  <c r="I20" i="23"/>
  <c r="I21" i="27"/>
  <c r="I24" i="4"/>
  <c r="P100" i="29"/>
  <c r="L18" i="29"/>
  <c r="O18" i="29" s="1"/>
  <c r="P103" i="28"/>
  <c r="B22" i="28"/>
  <c r="B22" i="27"/>
  <c r="P102" i="26"/>
  <c r="N20" i="26"/>
  <c r="O20" i="26"/>
  <c r="P101" i="24"/>
  <c r="B102" i="24"/>
  <c r="B104" i="24"/>
  <c r="N21" i="24"/>
  <c r="O21" i="24"/>
  <c r="B102" i="25"/>
  <c r="O19" i="25"/>
  <c r="B21" i="22"/>
  <c r="B22" i="21"/>
  <c r="P105" i="19"/>
  <c r="P106" i="4"/>
  <c r="I17" i="35"/>
  <c r="I21" i="28"/>
  <c r="B106" i="3"/>
  <c r="B107" i="4"/>
  <c r="B105" i="18"/>
  <c r="J106" i="4"/>
  <c r="J100" i="29"/>
  <c r="J106" i="3"/>
  <c r="J102" i="23"/>
  <c r="J102" i="22"/>
  <c r="J105" i="18"/>
  <c r="J97" i="13"/>
  <c r="B107" i="3"/>
  <c r="D17" i="1"/>
  <c r="E17" i="1"/>
  <c r="I10" i="18"/>
  <c r="D95" i="18" s="1"/>
  <c r="I10" i="22"/>
  <c r="D93" i="22" s="1"/>
  <c r="B104" i="22" s="1"/>
  <c r="I10" i="26"/>
  <c r="I10" i="29"/>
  <c r="D95" i="29" s="1"/>
  <c r="E100" i="13"/>
  <c r="B100" i="34"/>
  <c r="B103" i="22"/>
  <c r="E18" i="1"/>
  <c r="B100" i="35"/>
  <c r="J95" i="27"/>
  <c r="J96" i="27" s="1"/>
  <c r="C128" i="24"/>
  <c r="C129" i="24" s="1"/>
  <c r="C130" i="24" s="1"/>
  <c r="C131" i="24" s="1"/>
  <c r="C132" i="24" s="1"/>
  <c r="C133" i="24" s="1"/>
  <c r="C134" i="24" s="1"/>
  <c r="C135" i="24" s="1"/>
  <c r="C136" i="24" s="1"/>
  <c r="C137" i="24" s="1"/>
  <c r="C138" i="24" s="1"/>
  <c r="C139" i="24" s="1"/>
  <c r="C140" i="24" s="1"/>
  <c r="C141" i="24" s="1"/>
  <c r="C142" i="24" s="1"/>
  <c r="C143" i="24" s="1"/>
  <c r="C144" i="24" s="1"/>
  <c r="C145" i="24" s="1"/>
  <c r="C146" i="24" s="1"/>
  <c r="C147" i="24" s="1"/>
  <c r="C148" i="24" s="1"/>
  <c r="C149" i="24" s="1"/>
  <c r="C150" i="24" s="1"/>
  <c r="C151" i="24" s="1"/>
  <c r="C152" i="24" s="1"/>
  <c r="C153" i="24" s="1"/>
  <c r="C154" i="24" s="1"/>
  <c r="C155" i="24" s="1"/>
  <c r="B24" i="18"/>
  <c r="B21" i="26"/>
  <c r="B20" i="25"/>
  <c r="B18" i="35"/>
  <c r="O20" i="4"/>
  <c r="P100" i="21"/>
  <c r="P42" i="17"/>
  <c r="P101" i="18"/>
  <c r="P103" i="3"/>
  <c r="P103" i="4"/>
  <c r="P101" i="21"/>
  <c r="O21" i="4"/>
  <c r="O17" i="26"/>
  <c r="O18" i="28"/>
  <c r="O19" i="21"/>
  <c r="P100" i="22"/>
  <c r="O19" i="24"/>
  <c r="O17" i="25"/>
  <c r="C100" i="31"/>
  <c r="C101" i="31" s="1"/>
  <c r="C102" i="31" s="1"/>
  <c r="C103" i="31" s="1"/>
  <c r="C104" i="31" s="1"/>
  <c r="C105" i="31" s="1"/>
  <c r="C106" i="31" s="1"/>
  <c r="C107" i="31" s="1"/>
  <c r="C108" i="31" s="1"/>
  <c r="C109" i="31" s="1"/>
  <c r="C110" i="31" s="1"/>
  <c r="C111" i="31" s="1"/>
  <c r="C112" i="31" s="1"/>
  <c r="C113" i="31" s="1"/>
  <c r="C114" i="31" s="1"/>
  <c r="C115" i="31" s="1"/>
  <c r="C116" i="31" s="1"/>
  <c r="C117" i="31" s="1"/>
  <c r="C118" i="31" s="1"/>
  <c r="C119" i="31" s="1"/>
  <c r="C120" i="31" s="1"/>
  <c r="C121" i="31" s="1"/>
  <c r="C122" i="31" s="1"/>
  <c r="C123" i="31" s="1"/>
  <c r="C124" i="31" s="1"/>
  <c r="C125" i="31" s="1"/>
  <c r="C126" i="31" s="1"/>
  <c r="C127" i="31" s="1"/>
  <c r="C128" i="31" s="1"/>
  <c r="C129" i="31" s="1"/>
  <c r="C130" i="31" s="1"/>
  <c r="C131" i="31" s="1"/>
  <c r="C132" i="31" s="1"/>
  <c r="C133" i="31" s="1"/>
  <c r="C134" i="31" s="1"/>
  <c r="C135" i="31" s="1"/>
  <c r="C136" i="31" s="1"/>
  <c r="C137" i="31" s="1"/>
  <c r="C138" i="31" s="1"/>
  <c r="C139" i="31" s="1"/>
  <c r="C140" i="31" s="1"/>
  <c r="C141" i="31" s="1"/>
  <c r="C142" i="31" s="1"/>
  <c r="C143" i="31" s="1"/>
  <c r="C144" i="31" s="1"/>
  <c r="C145" i="31" s="1"/>
  <c r="C146" i="31" s="1"/>
  <c r="C147" i="31" s="1"/>
  <c r="C148" i="31" s="1"/>
  <c r="C149" i="31" s="1"/>
  <c r="C150" i="31" s="1"/>
  <c r="C151" i="31" s="1"/>
  <c r="C152" i="31" s="1"/>
  <c r="C153" i="31" s="1"/>
  <c r="C154" i="31" s="1"/>
  <c r="C155" i="31" s="1"/>
  <c r="B100" i="31"/>
  <c r="P103" i="21"/>
  <c r="O20" i="22"/>
  <c r="O20" i="23"/>
  <c r="B106" i="18"/>
  <c r="B105" i="21"/>
  <c r="B101" i="35"/>
  <c r="B107" i="19"/>
  <c r="B105" i="27"/>
  <c r="B108" i="4"/>
  <c r="B26" i="3"/>
  <c r="B25" i="19"/>
  <c r="B101" i="34"/>
  <c r="B105" i="28"/>
  <c r="B22" i="22"/>
  <c r="B25" i="18"/>
  <c r="J100" i="31"/>
  <c r="B23" i="21"/>
  <c r="B23" i="24"/>
  <c r="B22" i="23"/>
  <c r="B22" i="26"/>
  <c r="B26" i="4"/>
  <c r="B104" i="26"/>
  <c r="J102" i="25"/>
  <c r="J104" i="24"/>
  <c r="J100" i="35"/>
  <c r="J107" i="4"/>
  <c r="I18" i="34"/>
  <c r="B23" i="28"/>
  <c r="I19" i="29"/>
  <c r="J101" i="29"/>
  <c r="I18" i="31"/>
  <c r="I25" i="4"/>
  <c r="J103" i="22"/>
  <c r="I17" i="37"/>
  <c r="J104" i="21"/>
  <c r="I25" i="3"/>
  <c r="J100" i="34"/>
  <c r="J107" i="3"/>
  <c r="J106" i="18"/>
  <c r="C100" i="38"/>
  <c r="P100" i="35"/>
  <c r="O17" i="35"/>
  <c r="P100" i="34"/>
  <c r="B101" i="31"/>
  <c r="P100" i="31"/>
  <c r="P103" i="26"/>
  <c r="B105" i="24"/>
  <c r="B103" i="25"/>
  <c r="I18" i="35"/>
  <c r="B19" i="34"/>
  <c r="J95" i="20"/>
  <c r="J96" i="20" s="1"/>
  <c r="J95" i="29"/>
  <c r="J96" i="29" s="1"/>
  <c r="F52" i="2"/>
  <c r="J96" i="31"/>
  <c r="J95" i="18"/>
  <c r="J96" i="18" s="1"/>
  <c r="J95" i="38"/>
  <c r="J95" i="34"/>
  <c r="J96" i="34" s="1"/>
  <c r="J95" i="28"/>
  <c r="J96" i="28" s="1"/>
  <c r="J95" i="4"/>
  <c r="J96" i="4" s="1"/>
  <c r="J95" i="37"/>
  <c r="J96" i="37" s="1"/>
  <c r="J95" i="3"/>
  <c r="J96" i="3" s="1"/>
  <c r="J95" i="23"/>
  <c r="J96" i="23" s="1"/>
  <c r="J95" i="19"/>
  <c r="J95" i="22"/>
  <c r="J96" i="22" s="1"/>
  <c r="J95" i="24"/>
  <c r="J96" i="24" s="1"/>
  <c r="J95" i="26"/>
  <c r="J96" i="26" s="1"/>
  <c r="J95" i="35"/>
  <c r="J96" i="35" s="1"/>
  <c r="J95" i="25"/>
  <c r="J96" i="25" s="1"/>
  <c r="J95" i="21"/>
  <c r="J96" i="21" s="1"/>
  <c r="J95" i="13"/>
  <c r="J96" i="13" s="1"/>
  <c r="J96" i="19"/>
  <c r="N49" i="17"/>
  <c r="E49" i="17"/>
  <c r="C49" i="17"/>
  <c r="F49" i="17"/>
  <c r="O49" i="17"/>
  <c r="J96" i="41" l="1"/>
  <c r="I100" i="41" s="1"/>
  <c r="H100" i="41"/>
  <c r="L100" i="41" s="1"/>
  <c r="M100" i="41" s="1"/>
  <c r="J96" i="42"/>
  <c r="H100" i="42"/>
  <c r="H101" i="42"/>
  <c r="H102" i="42"/>
  <c r="H103" i="42"/>
  <c r="H104" i="42"/>
  <c r="H105" i="42"/>
  <c r="H106" i="42"/>
  <c r="H107" i="42"/>
  <c r="H108" i="42"/>
  <c r="H109" i="42"/>
  <c r="H110" i="42"/>
  <c r="H111" i="42"/>
  <c r="H112" i="42"/>
  <c r="H113" i="42"/>
  <c r="H114" i="42"/>
  <c r="H115" i="42"/>
  <c r="H116" i="42"/>
  <c r="H117" i="42"/>
  <c r="H118" i="42"/>
  <c r="H119" i="42"/>
  <c r="H120" i="42"/>
  <c r="H121" i="42"/>
  <c r="H122" i="42"/>
  <c r="H123" i="42"/>
  <c r="H124" i="42"/>
  <c r="H125" i="42"/>
  <c r="H126" i="42"/>
  <c r="H127" i="42"/>
  <c r="H128" i="42"/>
  <c r="H129" i="42"/>
  <c r="H130" i="42"/>
  <c r="H131" i="42"/>
  <c r="H132" i="42"/>
  <c r="H133" i="42"/>
  <c r="H134" i="42"/>
  <c r="H135" i="42"/>
  <c r="H136" i="42"/>
  <c r="H137" i="42"/>
  <c r="H138" i="42"/>
  <c r="H139" i="42"/>
  <c r="H140" i="42"/>
  <c r="H141" i="42"/>
  <c r="H142" i="42"/>
  <c r="H143" i="42"/>
  <c r="H144" i="42"/>
  <c r="H145" i="42"/>
  <c r="H146" i="42"/>
  <c r="H147" i="42"/>
  <c r="H148" i="42"/>
  <c r="H149" i="42"/>
  <c r="H150" i="42"/>
  <c r="H151" i="42"/>
  <c r="H152" i="42"/>
  <c r="H153" i="42"/>
  <c r="H154" i="42"/>
  <c r="H155" i="42"/>
  <c r="J96" i="40"/>
  <c r="I100" i="40" s="1"/>
  <c r="H100" i="40"/>
  <c r="L100" i="40" s="1"/>
  <c r="M100" i="40" s="1"/>
  <c r="I12" i="21"/>
  <c r="I13" i="21" s="1"/>
  <c r="I12" i="42"/>
  <c r="I13" i="42" s="1"/>
  <c r="I12" i="40"/>
  <c r="I13" i="40" s="1"/>
  <c r="I12" i="41"/>
  <c r="I13" i="41" s="1"/>
  <c r="P103" i="27"/>
  <c r="O17" i="27"/>
  <c r="O18" i="27"/>
  <c r="O19" i="27"/>
  <c r="O21" i="27"/>
  <c r="O21" i="22"/>
  <c r="O24" i="19"/>
  <c r="C60" i="1"/>
  <c r="I12" i="26"/>
  <c r="I13" i="26" s="1"/>
  <c r="O72" i="13"/>
  <c r="O64" i="34"/>
  <c r="O52" i="37"/>
  <c r="O42" i="37"/>
  <c r="O54" i="37"/>
  <c r="D93" i="23"/>
  <c r="I12" i="20"/>
  <c r="I13" i="20" s="1"/>
  <c r="I12" i="39"/>
  <c r="D95" i="4"/>
  <c r="D95" i="23"/>
  <c r="D94" i="34"/>
  <c r="C100" i="34" s="1"/>
  <c r="C101" i="34" s="1"/>
  <c r="C102" i="34" s="1"/>
  <c r="C103" i="34" s="1"/>
  <c r="C104" i="34" s="1"/>
  <c r="C105" i="34" s="1"/>
  <c r="C106" i="34" s="1"/>
  <c r="C107" i="34" s="1"/>
  <c r="C108" i="34" s="1"/>
  <c r="C109" i="34" s="1"/>
  <c r="C110" i="34" s="1"/>
  <c r="C111" i="34" s="1"/>
  <c r="C112" i="34" s="1"/>
  <c r="C113" i="34" s="1"/>
  <c r="C114" i="34" s="1"/>
  <c r="C115" i="34" s="1"/>
  <c r="C116" i="34" s="1"/>
  <c r="C117" i="34" s="1"/>
  <c r="C118" i="34" s="1"/>
  <c r="C119" i="34" s="1"/>
  <c r="C120" i="34" s="1"/>
  <c r="C121" i="34" s="1"/>
  <c r="C122" i="34" s="1"/>
  <c r="C123" i="34" s="1"/>
  <c r="C124" i="34" s="1"/>
  <c r="C125" i="34" s="1"/>
  <c r="C126" i="34" s="1"/>
  <c r="C127" i="34" s="1"/>
  <c r="C128" i="34" s="1"/>
  <c r="C129" i="34" s="1"/>
  <c r="C130" i="34" s="1"/>
  <c r="C131" i="34" s="1"/>
  <c r="C132" i="34" s="1"/>
  <c r="C133" i="34" s="1"/>
  <c r="C134" i="34" s="1"/>
  <c r="C135" i="34" s="1"/>
  <c r="C136" i="34" s="1"/>
  <c r="C137" i="34" s="1"/>
  <c r="C138" i="34" s="1"/>
  <c r="C139" i="34" s="1"/>
  <c r="C140" i="34" s="1"/>
  <c r="C141" i="34" s="1"/>
  <c r="C142" i="34" s="1"/>
  <c r="C143" i="34" s="1"/>
  <c r="C144" i="34" s="1"/>
  <c r="C145" i="34" s="1"/>
  <c r="C146" i="34" s="1"/>
  <c r="C147" i="34" s="1"/>
  <c r="C148" i="34" s="1"/>
  <c r="C149" i="34" s="1"/>
  <c r="C150" i="34" s="1"/>
  <c r="C151" i="34" s="1"/>
  <c r="C152" i="34" s="1"/>
  <c r="C153" i="34" s="1"/>
  <c r="C154" i="34" s="1"/>
  <c r="C155" i="34" s="1"/>
  <c r="D93" i="18"/>
  <c r="B107" i="18" s="1"/>
  <c r="D94" i="4"/>
  <c r="C100" i="4" s="1"/>
  <c r="C101" i="4" s="1"/>
  <c r="C102" i="4" s="1"/>
  <c r="C103" i="4" s="1"/>
  <c r="C104" i="4" s="1"/>
  <c r="C105" i="4" s="1"/>
  <c r="C106" i="4" s="1"/>
  <c r="C107" i="4" s="1"/>
  <c r="C108" i="4" s="1"/>
  <c r="C109" i="4" s="1"/>
  <c r="C110" i="4" s="1"/>
  <c r="C111" i="4" s="1"/>
  <c r="C112" i="4" s="1"/>
  <c r="C113" i="4" s="1"/>
  <c r="C114" i="4" s="1"/>
  <c r="C115" i="4" s="1"/>
  <c r="C116" i="4" s="1"/>
  <c r="C117" i="4" s="1"/>
  <c r="C118" i="4" s="1"/>
  <c r="C119" i="4" s="1"/>
  <c r="C120" i="4" s="1"/>
  <c r="C121" i="4" s="1"/>
  <c r="C122" i="4" s="1"/>
  <c r="C123" i="4" s="1"/>
  <c r="C124" i="4" s="1"/>
  <c r="C125" i="4" s="1"/>
  <c r="C126" i="4" s="1"/>
  <c r="C127" i="4" s="1"/>
  <c r="C59" i="2"/>
  <c r="C77" i="2"/>
  <c r="C50" i="2"/>
  <c r="C14" i="2"/>
  <c r="O18" i="35"/>
  <c r="O18" i="34"/>
  <c r="O18" i="31"/>
  <c r="O25" i="4"/>
  <c r="B108" i="3"/>
  <c r="D94" i="18"/>
  <c r="C100" i="18" s="1"/>
  <c r="C101" i="18" s="1"/>
  <c r="C102" i="18" s="1"/>
  <c r="C103" i="18" s="1"/>
  <c r="C104" i="18" s="1"/>
  <c r="C105" i="18" s="1"/>
  <c r="C106" i="18" s="1"/>
  <c r="C107" i="18" s="1"/>
  <c r="C108" i="18" s="1"/>
  <c r="C109" i="18" s="1"/>
  <c r="C110" i="18" s="1"/>
  <c r="C111" i="18" s="1"/>
  <c r="C112" i="18" s="1"/>
  <c r="C113" i="18" s="1"/>
  <c r="C114" i="18" s="1"/>
  <c r="C115" i="18" s="1"/>
  <c r="C116" i="18" s="1"/>
  <c r="C117" i="18" s="1"/>
  <c r="C118" i="18" s="1"/>
  <c r="C119" i="18" s="1"/>
  <c r="C120" i="18" s="1"/>
  <c r="C121" i="18" s="1"/>
  <c r="C122" i="18" s="1"/>
  <c r="C123" i="18" s="1"/>
  <c r="C124" i="18" s="1"/>
  <c r="C125" i="18" s="1"/>
  <c r="C126" i="18" s="1"/>
  <c r="C127" i="18" s="1"/>
  <c r="D94" i="20"/>
  <c r="C100" i="20" s="1"/>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O17" i="37"/>
  <c r="O50" i="19"/>
  <c r="O29" i="19"/>
  <c r="O46" i="35"/>
  <c r="O33" i="21"/>
  <c r="O36" i="35"/>
  <c r="O62" i="37"/>
  <c r="O64" i="37"/>
  <c r="O66" i="37"/>
  <c r="O22" i="28"/>
  <c r="O64" i="24"/>
  <c r="O20" i="25"/>
  <c r="O67" i="25"/>
  <c r="P124" i="31"/>
  <c r="O38" i="35"/>
  <c r="O67" i="26"/>
  <c r="O45" i="38"/>
  <c r="O47" i="38"/>
  <c r="O51" i="38"/>
  <c r="O55" i="38"/>
  <c r="O57" i="38"/>
  <c r="O59" i="38"/>
  <c r="O63" i="38"/>
  <c r="O65" i="38"/>
  <c r="O67" i="38"/>
  <c r="O71" i="38"/>
  <c r="O47" i="13"/>
  <c r="O29" i="13"/>
  <c r="O33" i="25"/>
  <c r="O33" i="26"/>
  <c r="O33" i="28"/>
  <c r="O25" i="38"/>
  <c r="F47" i="1"/>
  <c r="F51" i="1" s="1"/>
  <c r="D95" i="20"/>
  <c r="E100" i="20"/>
  <c r="O30" i="23"/>
  <c r="O52" i="23"/>
  <c r="O54" i="23"/>
  <c r="O66" i="23"/>
  <c r="O28" i="24"/>
  <c r="O62" i="24"/>
  <c r="O72" i="24"/>
  <c r="O24" i="25"/>
  <c r="O26" i="25"/>
  <c r="O28" i="25"/>
  <c r="O30" i="25"/>
  <c r="O36" i="25"/>
  <c r="O38" i="25"/>
  <c r="O44" i="25"/>
  <c r="O64" i="25"/>
  <c r="O66" i="25"/>
  <c r="O68" i="25"/>
  <c r="O70" i="25"/>
  <c r="O23" i="26"/>
  <c r="O25" i="26"/>
  <c r="O41" i="26"/>
  <c r="O43" i="26"/>
  <c r="O53" i="26"/>
  <c r="O48" i="27"/>
  <c r="O21" i="37"/>
  <c r="O27" i="37"/>
  <c r="O73" i="37"/>
  <c r="O69" i="38"/>
  <c r="C49" i="1"/>
  <c r="C72" i="1"/>
  <c r="C75" i="1"/>
  <c r="D94" i="19"/>
  <c r="C100" i="19" s="1"/>
  <c r="C101" i="19" s="1"/>
  <c r="C102" i="19" s="1"/>
  <c r="C103" i="19" s="1"/>
  <c r="C104" i="19" s="1"/>
  <c r="C105" i="19" s="1"/>
  <c r="C106" i="19" s="1"/>
  <c r="C107" i="19" s="1"/>
  <c r="C108" i="19" s="1"/>
  <c r="C109" i="19" s="1"/>
  <c r="C110" i="19" s="1"/>
  <c r="C111" i="19" s="1"/>
  <c r="C112" i="19" s="1"/>
  <c r="C113" i="19" s="1"/>
  <c r="C114" i="19" s="1"/>
  <c r="C115" i="19" s="1"/>
  <c r="C116" i="19" s="1"/>
  <c r="C117" i="19" s="1"/>
  <c r="C118" i="19" s="1"/>
  <c r="C119" i="19" s="1"/>
  <c r="C120" i="19" s="1"/>
  <c r="C121" i="19" s="1"/>
  <c r="C122" i="19" s="1"/>
  <c r="C123" i="19" s="1"/>
  <c r="C124" i="19" s="1"/>
  <c r="C125" i="19" s="1"/>
  <c r="C126" i="19" s="1"/>
  <c r="C127" i="19" s="1"/>
  <c r="C128" i="19" s="1"/>
  <c r="C129" i="19" s="1"/>
  <c r="C130" i="19" s="1"/>
  <c r="C131" i="19" s="1"/>
  <c r="C132" i="19" s="1"/>
  <c r="C133" i="19" s="1"/>
  <c r="C134" i="19" s="1"/>
  <c r="C135" i="19" s="1"/>
  <c r="C136" i="19" s="1"/>
  <c r="C137" i="19" s="1"/>
  <c r="C138" i="19" s="1"/>
  <c r="C139" i="19" s="1"/>
  <c r="C140" i="19" s="1"/>
  <c r="C141" i="19" s="1"/>
  <c r="C142" i="19" s="1"/>
  <c r="C143" i="19" s="1"/>
  <c r="C144" i="19" s="1"/>
  <c r="C145" i="19" s="1"/>
  <c r="C146" i="19" s="1"/>
  <c r="C147" i="19" s="1"/>
  <c r="C148" i="19" s="1"/>
  <c r="C149" i="19" s="1"/>
  <c r="C150" i="19" s="1"/>
  <c r="C151" i="19" s="1"/>
  <c r="C152" i="19" s="1"/>
  <c r="C153" i="19" s="1"/>
  <c r="C154" i="19" s="1"/>
  <c r="C155" i="19" s="1"/>
  <c r="C10" i="1"/>
  <c r="C55" i="1"/>
  <c r="C28" i="1"/>
  <c r="C78" i="1"/>
  <c r="C58" i="1"/>
  <c r="D94" i="25"/>
  <c r="C100" i="25" s="1"/>
  <c r="C101" i="25" s="1"/>
  <c r="C102" i="25" s="1"/>
  <c r="C103" i="25" s="1"/>
  <c r="C104" i="25" s="1"/>
  <c r="C105" i="25" s="1"/>
  <c r="C106" i="25" s="1"/>
  <c r="C107" i="25" s="1"/>
  <c r="C108" i="25" s="1"/>
  <c r="C109" i="25" s="1"/>
  <c r="C110" i="25" s="1"/>
  <c r="C111" i="25" s="1"/>
  <c r="C112" i="25" s="1"/>
  <c r="C113" i="25" s="1"/>
  <c r="C114" i="25" s="1"/>
  <c r="C115" i="25" s="1"/>
  <c r="C116" i="25" s="1"/>
  <c r="C117" i="25" s="1"/>
  <c r="C118" i="25" s="1"/>
  <c r="C119" i="25" s="1"/>
  <c r="C120" i="25" s="1"/>
  <c r="C121" i="25" s="1"/>
  <c r="C122" i="25" s="1"/>
  <c r="C123" i="25" s="1"/>
  <c r="C124" i="25" s="1"/>
  <c r="C125" i="25" s="1"/>
  <c r="C126" i="25" s="1"/>
  <c r="C127" i="25" s="1"/>
  <c r="F14" i="1"/>
  <c r="E19" i="1" s="1"/>
  <c r="F19" i="1" s="1"/>
  <c r="C77" i="1"/>
  <c r="C80" i="1"/>
  <c r="C8" i="1"/>
  <c r="F18" i="1"/>
  <c r="C74" i="1"/>
  <c r="C54" i="1"/>
  <c r="C14" i="1"/>
  <c r="C22" i="1"/>
  <c r="C61" i="1"/>
  <c r="P105" i="37"/>
  <c r="P109" i="37"/>
  <c r="P121" i="37"/>
  <c r="P125" i="37"/>
  <c r="P129" i="37"/>
  <c r="O71" i="21"/>
  <c r="O67" i="21"/>
  <c r="O53" i="21"/>
  <c r="O43" i="21"/>
  <c r="O37" i="21"/>
  <c r="O39" i="22"/>
  <c r="O41" i="22"/>
  <c r="O43" i="22"/>
  <c r="O47" i="22"/>
  <c r="O49" i="22"/>
  <c r="O53" i="22"/>
  <c r="O55" i="22"/>
  <c r="O57" i="22"/>
  <c r="O59" i="22"/>
  <c r="O61" i="22"/>
  <c r="O69" i="22"/>
  <c r="O71" i="22"/>
  <c r="O38" i="28"/>
  <c r="O40" i="28"/>
  <c r="O35" i="31"/>
  <c r="O52" i="31"/>
  <c r="O60" i="31"/>
  <c r="P128" i="31"/>
  <c r="O20" i="35"/>
  <c r="O24" i="35"/>
  <c r="O26" i="35"/>
  <c r="O28" i="35"/>
  <c r="J42" i="17"/>
  <c r="P119" i="35"/>
  <c r="P123" i="35"/>
  <c r="P127" i="35"/>
  <c r="P131" i="35"/>
  <c r="P115" i="35"/>
  <c r="P103" i="35"/>
  <c r="P107" i="35"/>
  <c r="P111" i="35"/>
  <c r="P110" i="38"/>
  <c r="P112" i="31"/>
  <c r="P114" i="37"/>
  <c r="P122" i="37"/>
  <c r="P126" i="37"/>
  <c r="P130" i="37"/>
  <c r="P105" i="38"/>
  <c r="P109" i="38"/>
  <c r="P113" i="38"/>
  <c r="P121" i="38"/>
  <c r="P106" i="37"/>
  <c r="O50" i="4"/>
  <c r="O44" i="4"/>
  <c r="O38" i="4"/>
  <c r="P106" i="31"/>
  <c r="P108" i="31"/>
  <c r="O24" i="34"/>
  <c r="O26" i="34"/>
  <c r="O28" i="34"/>
  <c r="O30" i="34"/>
  <c r="O36" i="34"/>
  <c r="O38" i="34"/>
  <c r="O42" i="34"/>
  <c r="O34" i="35"/>
  <c r="O40" i="35"/>
  <c r="O42" i="35"/>
  <c r="O44" i="35"/>
  <c r="O48" i="35"/>
  <c r="O52" i="35"/>
  <c r="O54" i="35"/>
  <c r="O56" i="35"/>
  <c r="O36" i="4"/>
  <c r="O63" i="20"/>
  <c r="O59" i="20"/>
  <c r="O55" i="20"/>
  <c r="O41" i="20"/>
  <c r="O39" i="20"/>
  <c r="O37" i="20"/>
  <c r="O35" i="20"/>
  <c r="O33" i="20"/>
  <c r="O30" i="20"/>
  <c r="O28" i="20"/>
  <c r="O26" i="20"/>
  <c r="O24" i="20"/>
  <c r="O22" i="20"/>
  <c r="O20" i="20"/>
  <c r="O18" i="20"/>
  <c r="O70" i="21"/>
  <c r="O52" i="21"/>
  <c r="O50" i="21"/>
  <c r="O48" i="21"/>
  <c r="O29" i="21"/>
  <c r="O27" i="21"/>
  <c r="O25" i="22"/>
  <c r="O27" i="22"/>
  <c r="O48" i="22"/>
  <c r="O50" i="22"/>
  <c r="O62" i="22"/>
  <c r="O64" i="22"/>
  <c r="O66" i="22"/>
  <c r="O27" i="28"/>
  <c r="O39" i="28"/>
  <c r="O41" i="28"/>
  <c r="O45" i="28"/>
  <c r="O47" i="28"/>
  <c r="O51" i="28"/>
  <c r="O53" i="28"/>
  <c r="O57" i="28"/>
  <c r="O61" i="28"/>
  <c r="O23" i="34"/>
  <c r="O25" i="34"/>
  <c r="O27" i="34"/>
  <c r="O29" i="34"/>
  <c r="O37" i="34"/>
  <c r="O39" i="34"/>
  <c r="O49" i="34"/>
  <c r="O51" i="34"/>
  <c r="O53" i="34"/>
  <c r="O65" i="34"/>
  <c r="O23" i="35"/>
  <c r="O29" i="35"/>
  <c r="O35" i="35"/>
  <c r="O39" i="35"/>
  <c r="O43" i="35"/>
  <c r="O47" i="35"/>
  <c r="O61" i="35"/>
  <c r="O65" i="35"/>
  <c r="O67" i="35"/>
  <c r="O69" i="35"/>
  <c r="O73" i="35"/>
  <c r="O73" i="13"/>
  <c r="O32" i="37"/>
  <c r="O36" i="37"/>
  <c r="O68" i="37"/>
  <c r="O70" i="37"/>
  <c r="P110" i="37"/>
  <c r="O26" i="38"/>
  <c r="O28" i="38"/>
  <c r="O30" i="38"/>
  <c r="O40" i="38"/>
  <c r="O44" i="38"/>
  <c r="O48" i="38"/>
  <c r="O50" i="38"/>
  <c r="O52" i="38"/>
  <c r="O54" i="38"/>
  <c r="O56" i="38"/>
  <c r="O58" i="38"/>
  <c r="O60" i="38"/>
  <c r="O62" i="38"/>
  <c r="O64" i="38"/>
  <c r="O68" i="38"/>
  <c r="O70" i="38"/>
  <c r="O72" i="38"/>
  <c r="P116" i="21"/>
  <c r="P107" i="21"/>
  <c r="P131" i="31"/>
  <c r="O72" i="3"/>
  <c r="O66" i="3"/>
  <c r="O64" i="3"/>
  <c r="O56" i="3"/>
  <c r="O52" i="3"/>
  <c r="O29" i="3"/>
  <c r="O56" i="13"/>
  <c r="O52" i="13"/>
  <c r="O38" i="13"/>
  <c r="O34" i="13"/>
  <c r="O55" i="18"/>
  <c r="O51" i="18"/>
  <c r="O39" i="18"/>
  <c r="O37" i="18"/>
  <c r="O35" i="18"/>
  <c r="O28" i="18"/>
  <c r="O73" i="19"/>
  <c r="O71" i="19"/>
  <c r="O67" i="19"/>
  <c r="O37" i="19"/>
  <c r="O35" i="19"/>
  <c r="O30" i="19"/>
  <c r="O70" i="20"/>
  <c r="O46" i="20"/>
  <c r="O44" i="20"/>
  <c r="O31" i="20"/>
  <c r="O27" i="20"/>
  <c r="O58" i="34"/>
  <c r="P122" i="34"/>
  <c r="P124" i="34"/>
  <c r="P123" i="22"/>
  <c r="P131" i="22"/>
  <c r="P109" i="24"/>
  <c r="P115" i="24"/>
  <c r="P131" i="24"/>
  <c r="P105" i="25"/>
  <c r="P121" i="25"/>
  <c r="P131" i="25"/>
  <c r="P107" i="27"/>
  <c r="P113" i="27"/>
  <c r="P105" i="29"/>
  <c r="P123" i="29"/>
  <c r="P131" i="29"/>
  <c r="O32" i="26"/>
  <c r="P102" i="35"/>
  <c r="P110" i="35"/>
  <c r="P114" i="35"/>
  <c r="P118" i="35"/>
  <c r="P122" i="35"/>
  <c r="P130" i="35"/>
  <c r="P119" i="22"/>
  <c r="P127" i="22"/>
  <c r="P111" i="24"/>
  <c r="P119" i="24"/>
  <c r="P117" i="25"/>
  <c r="P123" i="25"/>
  <c r="P129" i="25"/>
  <c r="P119" i="27"/>
  <c r="P127" i="27"/>
  <c r="P109" i="29"/>
  <c r="P115" i="29"/>
  <c r="P119" i="29"/>
  <c r="P125" i="29"/>
  <c r="P129" i="29"/>
  <c r="O32" i="19"/>
  <c r="O32" i="24"/>
  <c r="P129" i="4"/>
  <c r="P125" i="18"/>
  <c r="O42" i="19"/>
  <c r="P111" i="22"/>
  <c r="P117" i="22"/>
  <c r="P109" i="25"/>
  <c r="P113" i="25"/>
  <c r="P119" i="25"/>
  <c r="P127" i="25"/>
  <c r="P109" i="27"/>
  <c r="P115" i="27"/>
  <c r="P123" i="27"/>
  <c r="P131" i="27"/>
  <c r="P109" i="28"/>
  <c r="O33" i="31"/>
  <c r="O42" i="31"/>
  <c r="O43" i="3"/>
  <c r="O41" i="3"/>
  <c r="O39" i="3"/>
  <c r="O35" i="3"/>
  <c r="O33" i="3"/>
  <c r="O32" i="3"/>
  <c r="O32" i="20"/>
  <c r="O37" i="38"/>
  <c r="P120" i="38"/>
  <c r="O45" i="3"/>
  <c r="O24" i="23"/>
  <c r="O28" i="23"/>
  <c r="O38" i="23"/>
  <c r="O58" i="23"/>
  <c r="O64" i="23"/>
  <c r="O24" i="24"/>
  <c r="O26" i="24"/>
  <c r="O54" i="24"/>
  <c r="O56" i="24"/>
  <c r="O58" i="24"/>
  <c r="O60" i="24"/>
  <c r="O66" i="24"/>
  <c r="O70" i="24"/>
  <c r="O40" i="25"/>
  <c r="O50" i="25"/>
  <c r="O52" i="25"/>
  <c r="O54" i="25"/>
  <c r="O31" i="26"/>
  <c r="O37" i="26"/>
  <c r="O39" i="26"/>
  <c r="O45" i="26"/>
  <c r="O51" i="26"/>
  <c r="O61" i="26"/>
  <c r="O62" i="27"/>
  <c r="O70" i="27"/>
  <c r="P146" i="3"/>
  <c r="P144" i="19"/>
  <c r="P134" i="19"/>
  <c r="P132" i="19"/>
  <c r="P124" i="19"/>
  <c r="P112" i="19"/>
  <c r="P148" i="21"/>
  <c r="P144" i="21"/>
  <c r="P140" i="21"/>
  <c r="P138" i="21"/>
  <c r="P136" i="21"/>
  <c r="P124" i="21"/>
  <c r="P120" i="21"/>
  <c r="P108" i="21"/>
  <c r="O28" i="29"/>
  <c r="O34" i="29"/>
  <c r="O40" i="29"/>
  <c r="O42" i="29"/>
  <c r="O44" i="29"/>
  <c r="O46" i="29"/>
  <c r="O48" i="29"/>
  <c r="O50" i="29"/>
  <c r="O56" i="29"/>
  <c r="O60" i="29"/>
  <c r="O62" i="29"/>
  <c r="O64" i="29"/>
  <c r="O66" i="29"/>
  <c r="O68" i="29"/>
  <c r="O72" i="29"/>
  <c r="O39" i="31"/>
  <c r="O62" i="35"/>
  <c r="O66" i="35"/>
  <c r="O68" i="35"/>
  <c r="O19" i="38"/>
  <c r="O41" i="38"/>
  <c r="O37" i="29"/>
  <c r="O41" i="29"/>
  <c r="O49" i="29"/>
  <c r="O51" i="29"/>
  <c r="O53" i="29"/>
  <c r="O55" i="29"/>
  <c r="O59" i="29"/>
  <c r="O65" i="29"/>
  <c r="O67" i="29"/>
  <c r="O73" i="29"/>
  <c r="O27" i="38"/>
  <c r="O29" i="38"/>
  <c r="O33" i="38"/>
  <c r="P116" i="31"/>
  <c r="P139" i="20"/>
  <c r="P133" i="20"/>
  <c r="P113" i="34"/>
  <c r="P117" i="34"/>
  <c r="P119" i="34"/>
  <c r="P121" i="34"/>
  <c r="P151" i="3"/>
  <c r="P123" i="13"/>
  <c r="P153" i="19"/>
  <c r="P109" i="19"/>
  <c r="P152" i="4"/>
  <c r="P144" i="4"/>
  <c r="P140" i="4"/>
  <c r="P132" i="4"/>
  <c r="P130" i="4"/>
  <c r="P124" i="4"/>
  <c r="P120" i="4"/>
  <c r="P112" i="4"/>
  <c r="P154" i="18"/>
  <c r="P152" i="18"/>
  <c r="P150" i="18"/>
  <c r="P148" i="18"/>
  <c r="P144" i="18"/>
  <c r="P142" i="18"/>
  <c r="P140" i="18"/>
  <c r="P138" i="18"/>
  <c r="P136" i="18"/>
  <c r="P134" i="18"/>
  <c r="P122" i="18"/>
  <c r="P155" i="20"/>
  <c r="P153" i="20"/>
  <c r="P141" i="20"/>
  <c r="P125" i="20"/>
  <c r="P104" i="31"/>
  <c r="P109" i="18"/>
  <c r="P124" i="20"/>
  <c r="P120" i="20"/>
  <c r="P116" i="20"/>
  <c r="P112" i="20"/>
  <c r="P108" i="20"/>
  <c r="P107" i="23"/>
  <c r="P115" i="23"/>
  <c r="P121" i="23"/>
  <c r="P125" i="23"/>
  <c r="P127" i="23"/>
  <c r="P108" i="24"/>
  <c r="P112" i="25"/>
  <c r="P124" i="25"/>
  <c r="P126" i="25"/>
  <c r="P128" i="25"/>
  <c r="P110" i="26"/>
  <c r="P114" i="26"/>
  <c r="P122" i="26"/>
  <c r="P130" i="26"/>
  <c r="P106" i="28"/>
  <c r="P112" i="28"/>
  <c r="P118" i="28"/>
  <c r="P122" i="28"/>
  <c r="P126" i="28"/>
  <c r="P128" i="28"/>
  <c r="P106" i="29"/>
  <c r="P123" i="31"/>
  <c r="P127" i="31"/>
  <c r="P133" i="31"/>
  <c r="P135" i="31"/>
  <c r="P139" i="31"/>
  <c r="P129" i="13"/>
  <c r="P125" i="13"/>
  <c r="P121" i="13"/>
  <c r="P117" i="13"/>
  <c r="P113" i="13"/>
  <c r="P109" i="13"/>
  <c r="P103" i="13"/>
  <c r="P153" i="21"/>
  <c r="P145" i="21"/>
  <c r="P103" i="29"/>
  <c r="P120" i="31"/>
  <c r="P127" i="37"/>
  <c r="P115" i="3"/>
  <c r="P111" i="3"/>
  <c r="P122" i="31"/>
  <c r="P120" i="13"/>
  <c r="P105" i="34"/>
  <c r="P129" i="34"/>
  <c r="P135" i="20"/>
  <c r="P131" i="20"/>
  <c r="P127" i="20"/>
  <c r="P123" i="20"/>
  <c r="P119" i="20"/>
  <c r="P129" i="28"/>
  <c r="P127" i="3"/>
  <c r="P118" i="22"/>
  <c r="P126" i="22"/>
  <c r="P105" i="23"/>
  <c r="P113" i="23"/>
  <c r="P117" i="23"/>
  <c r="P123" i="23"/>
  <c r="P110" i="31"/>
  <c r="P121" i="4"/>
  <c r="P117" i="4"/>
  <c r="C100" i="13"/>
  <c r="D100" i="13" s="1"/>
  <c r="B100" i="13" s="1"/>
  <c r="O70" i="13"/>
  <c r="O68" i="13"/>
  <c r="O66" i="13"/>
  <c r="O64" i="13"/>
  <c r="O62" i="13"/>
  <c r="O60" i="13"/>
  <c r="O50" i="13"/>
  <c r="O32" i="13"/>
  <c r="O28" i="19"/>
  <c r="O29" i="23"/>
  <c r="O39" i="23"/>
  <c r="O41" i="23"/>
  <c r="O49" i="23"/>
  <c r="O53" i="23"/>
  <c r="O59" i="23"/>
  <c r="O61" i="23"/>
  <c r="O49" i="24"/>
  <c r="O67" i="27"/>
  <c r="O69" i="27"/>
  <c r="O35" i="34"/>
  <c r="O45" i="35"/>
  <c r="O65" i="23"/>
  <c r="O69" i="23"/>
  <c r="O27" i="24"/>
  <c r="O31" i="24"/>
  <c r="O39" i="24"/>
  <c r="O45" i="24"/>
  <c r="O59" i="25"/>
  <c r="O71" i="25"/>
  <c r="O26" i="26"/>
  <c r="O30" i="26"/>
  <c r="O44" i="26"/>
  <c r="O58" i="26"/>
  <c r="O65" i="27"/>
  <c r="O72" i="4"/>
  <c r="O68" i="4"/>
  <c r="O60" i="4"/>
  <c r="O52" i="4"/>
  <c r="O48" i="4"/>
  <c r="O46" i="4"/>
  <c r="O40" i="4"/>
  <c r="O29" i="4"/>
  <c r="O69" i="13"/>
  <c r="O63" i="13"/>
  <c r="O57" i="13"/>
  <c r="O55" i="13"/>
  <c r="O53" i="13"/>
  <c r="O51" i="13"/>
  <c r="O49" i="13"/>
  <c r="O45" i="13"/>
  <c r="O43" i="13"/>
  <c r="O41" i="13"/>
  <c r="O27" i="13"/>
  <c r="O25" i="13"/>
  <c r="O72" i="18"/>
  <c r="O70" i="18"/>
  <c r="O68" i="18"/>
  <c r="O64" i="18"/>
  <c r="O58" i="18"/>
  <c r="O56" i="18"/>
  <c r="O54" i="18"/>
  <c r="O52" i="18"/>
  <c r="O50" i="18"/>
  <c r="O48" i="18"/>
  <c r="O46" i="18"/>
  <c r="O44" i="18"/>
  <c r="O42" i="18"/>
  <c r="O34" i="18"/>
  <c r="O21" i="38"/>
  <c r="O63" i="23"/>
  <c r="O67" i="23"/>
  <c r="O35" i="24"/>
  <c r="O37" i="24"/>
  <c r="O41" i="24"/>
  <c r="O43" i="24"/>
  <c r="O55" i="24"/>
  <c r="O61" i="24"/>
  <c r="O65" i="24"/>
  <c r="O25" i="25"/>
  <c r="O24" i="26"/>
  <c r="O34" i="26"/>
  <c r="O38" i="26"/>
  <c r="O48" i="26"/>
  <c r="O62" i="26"/>
  <c r="O43" i="27"/>
  <c r="O73" i="27"/>
  <c r="O69" i="4"/>
  <c r="O67" i="4"/>
  <c r="O65" i="4"/>
  <c r="O61" i="4"/>
  <c r="O59" i="4"/>
  <c r="O57" i="4"/>
  <c r="O49" i="4"/>
  <c r="O47" i="4"/>
  <c r="O45" i="4"/>
  <c r="O43" i="4"/>
  <c r="O35" i="4"/>
  <c r="O33" i="4"/>
  <c r="O73" i="18"/>
  <c r="O61" i="18"/>
  <c r="O45" i="18"/>
  <c r="O72" i="20"/>
  <c r="O58" i="20"/>
  <c r="O56" i="20"/>
  <c r="O52" i="20"/>
  <c r="O73" i="21"/>
  <c r="O69" i="21"/>
  <c r="O65" i="21"/>
  <c r="O55" i="21"/>
  <c r="O49" i="21"/>
  <c r="O47" i="21"/>
  <c r="O45" i="21"/>
  <c r="O41" i="21"/>
  <c r="O39" i="21"/>
  <c r="O35" i="21"/>
  <c r="O37" i="22"/>
  <c r="O45" i="22"/>
  <c r="O30" i="28"/>
  <c r="O34" i="28"/>
  <c r="O36" i="28"/>
  <c r="O64" i="28"/>
  <c r="O66" i="28"/>
  <c r="O22" i="29"/>
  <c r="O24" i="29"/>
  <c r="O26" i="29"/>
  <c r="O30" i="29"/>
  <c r="O40" i="34"/>
  <c r="O44" i="34"/>
  <c r="O46" i="34"/>
  <c r="O50" i="34"/>
  <c r="O52" i="34"/>
  <c r="O54" i="34"/>
  <c r="O60" i="34"/>
  <c r="O62" i="34"/>
  <c r="O68" i="34"/>
  <c r="O30" i="31"/>
  <c r="O57" i="34"/>
  <c r="O21" i="35"/>
  <c r="O31" i="35"/>
  <c r="O49" i="35"/>
  <c r="O32" i="38"/>
  <c r="O71" i="20"/>
  <c r="O67" i="20"/>
  <c r="O65" i="20"/>
  <c r="O57" i="20"/>
  <c r="O53" i="20"/>
  <c r="E18" i="20"/>
  <c r="F18" i="20" s="1"/>
  <c r="B19" i="20" s="1"/>
  <c r="O34" i="22"/>
  <c r="O25" i="28"/>
  <c r="O59" i="28"/>
  <c r="O63" i="28"/>
  <c r="O69" i="28"/>
  <c r="O71" i="28"/>
  <c r="O73" i="28"/>
  <c r="O25" i="29"/>
  <c r="O27" i="29"/>
  <c r="O29" i="29"/>
  <c r="O31" i="29"/>
  <c r="O21" i="34"/>
  <c r="O41" i="34"/>
  <c r="O71" i="34"/>
  <c r="O27" i="35"/>
  <c r="O37" i="35"/>
  <c r="O71" i="35"/>
  <c r="O66" i="38"/>
  <c r="O71" i="3"/>
  <c r="O69" i="3"/>
  <c r="O67" i="3"/>
  <c r="O63" i="3"/>
  <c r="O61" i="3"/>
  <c r="O59" i="3"/>
  <c r="O47" i="3"/>
  <c r="O30" i="3"/>
  <c r="O72" i="19"/>
  <c r="O26" i="31"/>
  <c r="O36" i="31"/>
  <c r="O49" i="31"/>
  <c r="O61" i="31"/>
  <c r="O59" i="35"/>
  <c r="O24" i="38"/>
  <c r="O36" i="38"/>
  <c r="O26" i="18"/>
  <c r="O44" i="24"/>
  <c r="O73" i="26"/>
  <c r="O28" i="27"/>
  <c r="O30" i="27"/>
  <c r="O34" i="27"/>
  <c r="O36" i="27"/>
  <c r="O40" i="27"/>
  <c r="O42" i="27"/>
  <c r="O52" i="27"/>
  <c r="O60" i="27"/>
  <c r="O66" i="27"/>
  <c r="O68" i="27"/>
  <c r="O69" i="29"/>
  <c r="O19" i="37"/>
  <c r="O23" i="37"/>
  <c r="O25" i="37"/>
  <c r="O29" i="37"/>
  <c r="O31" i="37"/>
  <c r="O33" i="37"/>
  <c r="O43" i="37"/>
  <c r="O35" i="29"/>
  <c r="O28" i="31"/>
  <c r="O34" i="31"/>
  <c r="O40" i="31"/>
  <c r="O47" i="31"/>
  <c r="O22" i="38"/>
  <c r="O34" i="38"/>
  <c r="O38" i="38"/>
  <c r="O42" i="38"/>
  <c r="O61" i="21"/>
  <c r="O59" i="21"/>
  <c r="O51" i="21"/>
  <c r="O30" i="21"/>
  <c r="O24" i="22"/>
  <c r="O26" i="22"/>
  <c r="O28" i="22"/>
  <c r="O63" i="22"/>
  <c r="O73" i="22"/>
  <c r="O47" i="24"/>
  <c r="O51" i="24"/>
  <c r="O73" i="24"/>
  <c r="O63" i="25"/>
  <c r="O36" i="26"/>
  <c r="O68" i="26"/>
  <c r="O70" i="26"/>
  <c r="O26" i="28"/>
  <c r="O42" i="28"/>
  <c r="O44" i="28"/>
  <c r="O50" i="28"/>
  <c r="O56" i="31"/>
  <c r="O62" i="31"/>
  <c r="O70" i="31"/>
  <c r="O33" i="18"/>
  <c r="O31" i="18"/>
  <c r="O32" i="23"/>
  <c r="O32" i="29"/>
  <c r="O18" i="37"/>
  <c r="O22" i="37"/>
  <c r="O24" i="37"/>
  <c r="O26" i="37"/>
  <c r="O28" i="37"/>
  <c r="O63" i="24"/>
  <c r="O69" i="24"/>
  <c r="O29" i="25"/>
  <c r="O35" i="25"/>
  <c r="O39" i="25"/>
  <c r="O47" i="25"/>
  <c r="O69" i="25"/>
  <c r="O28" i="26"/>
  <c r="O40" i="26"/>
  <c r="O48" i="28"/>
  <c r="O62" i="28"/>
  <c r="O20" i="38"/>
  <c r="O58" i="4"/>
  <c r="O54" i="4"/>
  <c r="O34" i="4"/>
  <c r="O31" i="4"/>
  <c r="O46" i="21"/>
  <c r="O44" i="21"/>
  <c r="O42" i="21"/>
  <c r="O48" i="31"/>
  <c r="O64" i="35"/>
  <c r="O70" i="35"/>
  <c r="O72" i="34"/>
  <c r="O59" i="24"/>
  <c r="O67" i="24"/>
  <c r="O71" i="24"/>
  <c r="O23" i="25"/>
  <c r="O27" i="25"/>
  <c r="O31" i="25"/>
  <c r="O37" i="25"/>
  <c r="O45" i="25"/>
  <c r="O49" i="25"/>
  <c r="O61" i="25"/>
  <c r="O65" i="25"/>
  <c r="O66" i="26"/>
  <c r="O46" i="28"/>
  <c r="O58" i="28"/>
  <c r="O60" i="28"/>
  <c r="O51" i="37"/>
  <c r="O53" i="37"/>
  <c r="O55" i="37"/>
  <c r="O59" i="37"/>
  <c r="O61" i="37"/>
  <c r="O65" i="37"/>
  <c r="O67" i="37"/>
  <c r="O69" i="37"/>
  <c r="O71" i="37"/>
  <c r="O18" i="38"/>
  <c r="O57" i="3"/>
  <c r="O53" i="3"/>
  <c r="O51" i="3"/>
  <c r="O51" i="31"/>
  <c r="O55" i="31"/>
  <c r="O57" i="31"/>
  <c r="O50" i="37"/>
  <c r="O62" i="3"/>
  <c r="O67" i="13"/>
  <c r="O65" i="13"/>
  <c r="O23" i="13"/>
  <c r="O17" i="13"/>
  <c r="O69" i="18"/>
  <c r="O67" i="18"/>
  <c r="O43" i="18"/>
  <c r="O41" i="18"/>
  <c r="O30" i="18"/>
  <c r="O63" i="19"/>
  <c r="O50" i="20"/>
  <c r="O40" i="23"/>
  <c r="O42" i="23"/>
  <c r="O44" i="23"/>
  <c r="O60" i="23"/>
  <c r="O62" i="23"/>
  <c r="O68" i="23"/>
  <c r="O72" i="23"/>
  <c r="O30" i="24"/>
  <c r="O34" i="24"/>
  <c r="O36" i="24"/>
  <c r="O38" i="24"/>
  <c r="O40" i="24"/>
  <c r="O42" i="24"/>
  <c r="O50" i="24"/>
  <c r="O37" i="27"/>
  <c r="O39" i="27"/>
  <c r="O41" i="27"/>
  <c r="O47" i="27"/>
  <c r="O49" i="27"/>
  <c r="O53" i="27"/>
  <c r="O55" i="27"/>
  <c r="O71" i="27"/>
  <c r="O23" i="31"/>
  <c r="O25" i="31"/>
  <c r="O27" i="31"/>
  <c r="O37" i="31"/>
  <c r="O44" i="31"/>
  <c r="O46" i="31"/>
  <c r="O50" i="31"/>
  <c r="O63" i="31"/>
  <c r="O69" i="31"/>
  <c r="O71" i="31"/>
  <c r="O73" i="31"/>
  <c r="O41" i="31"/>
  <c r="O43" i="31"/>
  <c r="O40" i="3"/>
  <c r="O38" i="3"/>
  <c r="O32" i="18"/>
  <c r="O33" i="19"/>
  <c r="O45" i="34"/>
  <c r="O47" i="34"/>
  <c r="O55" i="34"/>
  <c r="O59" i="34"/>
  <c r="O61" i="34"/>
  <c r="O63" i="34"/>
  <c r="O51" i="35"/>
  <c r="O53" i="35"/>
  <c r="O55" i="35"/>
  <c r="O57" i="35"/>
  <c r="O63" i="35"/>
  <c r="O34" i="37"/>
  <c r="O40" i="37"/>
  <c r="O44" i="37"/>
  <c r="O48" i="37"/>
  <c r="O62" i="4"/>
  <c r="O40" i="13"/>
  <c r="O36" i="13"/>
  <c r="O22" i="13"/>
  <c r="O20" i="13"/>
  <c r="O58" i="19"/>
  <c r="O36" i="19"/>
  <c r="O34" i="19"/>
  <c r="O47" i="20"/>
  <c r="O45" i="20"/>
  <c r="O43" i="20"/>
  <c r="O38" i="20"/>
  <c r="O36" i="20"/>
  <c r="O46" i="27"/>
  <c r="O54" i="27"/>
  <c r="O58" i="27"/>
  <c r="O58" i="31"/>
  <c r="O50" i="35"/>
  <c r="D94" i="29"/>
  <c r="C100" i="29" s="1"/>
  <c r="C101" i="29" s="1"/>
  <c r="C102" i="29" s="1"/>
  <c r="C103" i="29" s="1"/>
  <c r="C104" i="29" s="1"/>
  <c r="C105" i="29" s="1"/>
  <c r="C106" i="29" s="1"/>
  <c r="C107" i="29" s="1"/>
  <c r="C108" i="29" s="1"/>
  <c r="C109" i="29" s="1"/>
  <c r="C110" i="29" s="1"/>
  <c r="C111" i="29" s="1"/>
  <c r="C112" i="29" s="1"/>
  <c r="C113" i="29" s="1"/>
  <c r="C114" i="29" s="1"/>
  <c r="C115" i="29" s="1"/>
  <c r="C116" i="29" s="1"/>
  <c r="C117" i="29" s="1"/>
  <c r="C118" i="29" s="1"/>
  <c r="C119" i="29" s="1"/>
  <c r="C120" i="29" s="1"/>
  <c r="C121" i="29" s="1"/>
  <c r="C122" i="29" s="1"/>
  <c r="C123" i="29" s="1"/>
  <c r="C124" i="29" s="1"/>
  <c r="C125" i="29" s="1"/>
  <c r="C126" i="29" s="1"/>
  <c r="C127" i="29" s="1"/>
  <c r="O60" i="3"/>
  <c r="O59" i="31"/>
  <c r="F17" i="1"/>
  <c r="O55" i="26"/>
  <c r="O37" i="28"/>
  <c r="P154" i="3"/>
  <c r="P138" i="3"/>
  <c r="P136" i="3"/>
  <c r="P132" i="3"/>
  <c r="P130" i="3"/>
  <c r="O50" i="3"/>
  <c r="O70" i="4"/>
  <c r="O41" i="4"/>
  <c r="O37" i="4"/>
  <c r="O18" i="13"/>
  <c r="O71" i="18"/>
  <c r="O54" i="19"/>
  <c r="O52" i="19"/>
  <c r="O68" i="20"/>
  <c r="O66" i="20"/>
  <c r="O60" i="20"/>
  <c r="O54" i="20"/>
  <c r="O49" i="20"/>
  <c r="O68" i="22"/>
  <c r="O70" i="22"/>
  <c r="O72" i="22"/>
  <c r="O71" i="23"/>
  <c r="O73" i="23"/>
  <c r="O25" i="24"/>
  <c r="O34" i="25"/>
  <c r="O42" i="25"/>
  <c r="O56" i="25"/>
  <c r="O58" i="25"/>
  <c r="O27" i="26"/>
  <c r="O29" i="26"/>
  <c r="O25" i="27"/>
  <c r="O27" i="27"/>
  <c r="O31" i="27"/>
  <c r="O35" i="27"/>
  <c r="O50" i="27"/>
  <c r="O35" i="28"/>
  <c r="O70" i="28"/>
  <c r="O72" i="28"/>
  <c r="O45" i="29"/>
  <c r="O47" i="29"/>
  <c r="O57" i="29"/>
  <c r="O61" i="29"/>
  <c r="O63" i="29"/>
  <c r="O22" i="31"/>
  <c r="O31" i="31"/>
  <c r="O38" i="31"/>
  <c r="O53" i="31"/>
  <c r="O32" i="21"/>
  <c r="O33" i="34"/>
  <c r="O66" i="34"/>
  <c r="O70" i="34"/>
  <c r="O22" i="35"/>
  <c r="O30" i="35"/>
  <c r="O73" i="34"/>
  <c r="O41" i="37"/>
  <c r="O46" i="38"/>
  <c r="O64" i="4"/>
  <c r="O61" i="13"/>
  <c r="O59" i="13"/>
  <c r="O57" i="19"/>
  <c r="O55" i="19"/>
  <c r="O53" i="19"/>
  <c r="O51" i="19"/>
  <c r="O49" i="19"/>
  <c r="O47" i="19"/>
  <c r="O45" i="19"/>
  <c r="O43" i="19"/>
  <c r="O39" i="19"/>
  <c r="O69" i="20"/>
  <c r="O42" i="20"/>
  <c r="O72" i="21"/>
  <c r="O57" i="21"/>
  <c r="O65" i="22"/>
  <c r="P109" i="23"/>
  <c r="O71" i="26"/>
  <c r="O26" i="27"/>
  <c r="O24" i="28"/>
  <c r="O28" i="28"/>
  <c r="O36" i="29"/>
  <c r="O52" i="29"/>
  <c r="O71" i="29"/>
  <c r="O32" i="27"/>
  <c r="O32" i="28"/>
  <c r="O20" i="34"/>
  <c r="O22" i="34"/>
  <c r="O32" i="34"/>
  <c r="O34" i="34"/>
  <c r="O25" i="35"/>
  <c r="O72" i="35"/>
  <c r="P147" i="3"/>
  <c r="P123" i="3"/>
  <c r="P119" i="3"/>
  <c r="O73" i="3"/>
  <c r="O73" i="4"/>
  <c r="O71" i="4"/>
  <c r="O58" i="13"/>
  <c r="O48" i="13"/>
  <c r="O46" i="13"/>
  <c r="O44" i="13"/>
  <c r="O42" i="13"/>
  <c r="O39" i="13"/>
  <c r="O35" i="13"/>
  <c r="O33" i="13"/>
  <c r="O40" i="18"/>
  <c r="O38" i="18"/>
  <c r="O62" i="19"/>
  <c r="O60" i="19"/>
  <c r="O51" i="20"/>
  <c r="O34" i="20"/>
  <c r="O29" i="20"/>
  <c r="O25" i="20"/>
  <c r="O21" i="20"/>
  <c r="O19" i="20"/>
  <c r="O66" i="21"/>
  <c r="O56" i="21"/>
  <c r="O40" i="21"/>
  <c r="O38" i="21"/>
  <c r="O36" i="21"/>
  <c r="O34" i="21"/>
  <c r="O31" i="21"/>
  <c r="O25" i="21"/>
  <c r="O29" i="22"/>
  <c r="O31" i="22"/>
  <c r="O38" i="22"/>
  <c r="O40" i="22"/>
  <c r="O44" i="22"/>
  <c r="O46" i="22"/>
  <c r="O52" i="22"/>
  <c r="P121" i="22"/>
  <c r="P125" i="22"/>
  <c r="P129" i="22"/>
  <c r="O64" i="26"/>
  <c r="O59" i="27"/>
  <c r="O61" i="27"/>
  <c r="O54" i="28"/>
  <c r="O39" i="37"/>
  <c r="O63" i="37"/>
  <c r="E18" i="13"/>
  <c r="F18" i="13" s="1"/>
  <c r="I12" i="38"/>
  <c r="I13" i="38" s="1"/>
  <c r="I12" i="37"/>
  <c r="I13" i="37" s="1"/>
  <c r="I12" i="28"/>
  <c r="I13" i="28" s="1"/>
  <c r="I12" i="31"/>
  <c r="I13" i="31" s="1"/>
  <c r="I12" i="24"/>
  <c r="I12" i="3"/>
  <c r="I13" i="3" s="1"/>
  <c r="I12" i="27"/>
  <c r="I12" i="22"/>
  <c r="I13" i="22" s="1"/>
  <c r="I12" i="35"/>
  <c r="I13" i="35" s="1"/>
  <c r="I12" i="25"/>
  <c r="I13" i="25" s="1"/>
  <c r="I12" i="4"/>
  <c r="I13" i="4" s="1"/>
  <c r="I12" i="23"/>
  <c r="I13" i="23" s="1"/>
  <c r="I12" i="34"/>
  <c r="I13" i="34" s="1"/>
  <c r="I12" i="29"/>
  <c r="I13" i="29" s="1"/>
  <c r="I12" i="18"/>
  <c r="I13" i="18" s="1"/>
  <c r="I12" i="19"/>
  <c r="I13" i="19" s="1"/>
  <c r="I12" i="13"/>
  <c r="A4" i="1"/>
  <c r="A2" i="1"/>
  <c r="A2" i="2" s="1"/>
  <c r="O66" i="18"/>
  <c r="O68" i="21"/>
  <c r="P153" i="3"/>
  <c r="P149" i="3"/>
  <c r="P145" i="3"/>
  <c r="P141" i="3"/>
  <c r="O68" i="3"/>
  <c r="O49" i="3"/>
  <c r="O63" i="4"/>
  <c r="O42" i="4"/>
  <c r="O30" i="4"/>
  <c r="P130" i="13"/>
  <c r="P128" i="13"/>
  <c r="P126" i="13"/>
  <c r="P122" i="13"/>
  <c r="P118" i="13"/>
  <c r="P114" i="13"/>
  <c r="P112" i="13"/>
  <c r="P110" i="13"/>
  <c r="P106" i="13"/>
  <c r="O31" i="13"/>
  <c r="O69" i="19"/>
  <c r="O65" i="19"/>
  <c r="O54" i="21"/>
  <c r="O34" i="23"/>
  <c r="O36" i="23"/>
  <c r="O35" i="26"/>
  <c r="O72" i="26"/>
  <c r="O44" i="27"/>
  <c r="O29" i="31"/>
  <c r="O55" i="4"/>
  <c r="O53" i="4"/>
  <c r="O51" i="4"/>
  <c r="O19" i="13"/>
  <c r="P149" i="19"/>
  <c r="P145" i="19"/>
  <c r="P141" i="19"/>
  <c r="O56" i="19"/>
  <c r="O48" i="19"/>
  <c r="O46" i="19"/>
  <c r="O44" i="19"/>
  <c r="O40" i="19"/>
  <c r="O38" i="19"/>
  <c r="O65" i="26"/>
  <c r="O24" i="31"/>
  <c r="O64" i="31"/>
  <c r="O68" i="31"/>
  <c r="O54" i="3"/>
  <c r="O44" i="3"/>
  <c r="O66" i="4"/>
  <c r="O26" i="13"/>
  <c r="O24" i="13"/>
  <c r="O62" i="18"/>
  <c r="O60" i="18"/>
  <c r="O36" i="18"/>
  <c r="O64" i="19"/>
  <c r="P102" i="20"/>
  <c r="O73" i="20"/>
  <c r="O64" i="20"/>
  <c r="O62" i="20"/>
  <c r="O40" i="20"/>
  <c r="P135" i="21"/>
  <c r="P123" i="21"/>
  <c r="P111" i="21"/>
  <c r="O63" i="21"/>
  <c r="O28" i="21"/>
  <c r="O26" i="21"/>
  <c r="O33" i="22"/>
  <c r="O35" i="22"/>
  <c r="O51" i="22"/>
  <c r="O25" i="23"/>
  <c r="O27" i="23"/>
  <c r="O31" i="23"/>
  <c r="O35" i="23"/>
  <c r="P137" i="3"/>
  <c r="P133" i="3"/>
  <c r="P129" i="3"/>
  <c r="P125" i="3"/>
  <c r="P121" i="3"/>
  <c r="P113" i="3"/>
  <c r="P109" i="3"/>
  <c r="O70" i="3"/>
  <c r="O65" i="3"/>
  <c r="O58" i="3"/>
  <c r="O55" i="3"/>
  <c r="O48" i="3"/>
  <c r="O46" i="3"/>
  <c r="O56" i="4"/>
  <c r="O39" i="4"/>
  <c r="O71" i="13"/>
  <c r="O54" i="13"/>
  <c r="O37" i="13"/>
  <c r="O30" i="13"/>
  <c r="O28" i="13"/>
  <c r="O21" i="13"/>
  <c r="O65" i="18"/>
  <c r="O63" i="18"/>
  <c r="O59" i="18"/>
  <c r="O57" i="18"/>
  <c r="O53" i="18"/>
  <c r="O49" i="18"/>
  <c r="O47" i="18"/>
  <c r="O29" i="18"/>
  <c r="O70" i="19"/>
  <c r="O68" i="19"/>
  <c r="O66" i="19"/>
  <c r="O61" i="19"/>
  <c r="O59" i="19"/>
  <c r="O41" i="19"/>
  <c r="O26" i="19"/>
  <c r="P149" i="20"/>
  <c r="P145" i="20"/>
  <c r="P137" i="20"/>
  <c r="P129" i="20"/>
  <c r="P101" i="20"/>
  <c r="O61" i="20"/>
  <c r="O48" i="20"/>
  <c r="O23" i="20"/>
  <c r="P130" i="21"/>
  <c r="P126" i="21"/>
  <c r="P114" i="21"/>
  <c r="O64" i="21"/>
  <c r="O62" i="21"/>
  <c r="O60" i="21"/>
  <c r="O58" i="21"/>
  <c r="O30" i="22"/>
  <c r="O36" i="22"/>
  <c r="O42" i="22"/>
  <c r="O54" i="22"/>
  <c r="O56" i="22"/>
  <c r="O58" i="22"/>
  <c r="O60" i="22"/>
  <c r="O67" i="22"/>
  <c r="O26" i="23"/>
  <c r="O37" i="23"/>
  <c r="O41" i="25"/>
  <c r="O51" i="25"/>
  <c r="O73" i="25"/>
  <c r="O52" i="26"/>
  <c r="O38" i="29"/>
  <c r="O43" i="23"/>
  <c r="O45" i="23"/>
  <c r="O47" i="23"/>
  <c r="O51" i="23"/>
  <c r="O55" i="23"/>
  <c r="O57" i="23"/>
  <c r="O70" i="23"/>
  <c r="O29" i="24"/>
  <c r="O46" i="24"/>
  <c r="O48" i="24"/>
  <c r="O52" i="24"/>
  <c r="O68" i="24"/>
  <c r="P116" i="24"/>
  <c r="P118" i="24"/>
  <c r="P122" i="24"/>
  <c r="P126" i="24"/>
  <c r="P130" i="24"/>
  <c r="O46" i="25"/>
  <c r="O48" i="25"/>
  <c r="O53" i="25"/>
  <c r="O55" i="25"/>
  <c r="O57" i="25"/>
  <c r="O62" i="25"/>
  <c r="O46" i="26"/>
  <c r="O50" i="26"/>
  <c r="O54" i="26"/>
  <c r="O57" i="26"/>
  <c r="O59" i="26"/>
  <c r="O63" i="26"/>
  <c r="P107" i="26"/>
  <c r="P121" i="26"/>
  <c r="P129" i="26"/>
  <c r="O24" i="27"/>
  <c r="O57" i="27"/>
  <c r="O72" i="27"/>
  <c r="O43" i="28"/>
  <c r="O52" i="28"/>
  <c r="O56" i="28"/>
  <c r="O65" i="28"/>
  <c r="O67" i="28"/>
  <c r="O70" i="29"/>
  <c r="O21" i="31"/>
  <c r="O45" i="31"/>
  <c r="O66" i="31"/>
  <c r="O42" i="3"/>
  <c r="O36" i="3"/>
  <c r="O34" i="3"/>
  <c r="O31" i="3"/>
  <c r="O32" i="22"/>
  <c r="O32" i="25"/>
  <c r="O56" i="34"/>
  <c r="O35" i="37"/>
  <c r="O37" i="37"/>
  <c r="O60" i="37"/>
  <c r="O39" i="38"/>
  <c r="O43" i="25"/>
  <c r="O72" i="25"/>
  <c r="O45" i="27"/>
  <c r="O63" i="27"/>
  <c r="O49" i="28"/>
  <c r="O72" i="31"/>
  <c r="O37" i="3"/>
  <c r="O31" i="19"/>
  <c r="O33" i="23"/>
  <c r="O33" i="24"/>
  <c r="O33" i="27"/>
  <c r="O33" i="29"/>
  <c r="O43" i="34"/>
  <c r="O48" i="34"/>
  <c r="O67" i="34"/>
  <c r="O33" i="35"/>
  <c r="O41" i="35"/>
  <c r="O58" i="35"/>
  <c r="O60" i="35"/>
  <c r="P125" i="35"/>
  <c r="P129" i="35"/>
  <c r="O49" i="37"/>
  <c r="O57" i="37"/>
  <c r="O72" i="37"/>
  <c r="O17" i="38"/>
  <c r="O43" i="38"/>
  <c r="O49" i="38"/>
  <c r="O53" i="38"/>
  <c r="O61" i="38"/>
  <c r="O46" i="23"/>
  <c r="O48" i="23"/>
  <c r="O50" i="23"/>
  <c r="O56" i="23"/>
  <c r="P106" i="23"/>
  <c r="P110" i="23"/>
  <c r="O53" i="24"/>
  <c r="O57" i="24"/>
  <c r="O60" i="25"/>
  <c r="O42" i="26"/>
  <c r="O47" i="26"/>
  <c r="O49" i="26"/>
  <c r="O56" i="26"/>
  <c r="O60" i="26"/>
  <c r="O69" i="26"/>
  <c r="O29" i="27"/>
  <c r="O38" i="27"/>
  <c r="O51" i="27"/>
  <c r="O56" i="27"/>
  <c r="O64" i="27"/>
  <c r="O23" i="28"/>
  <c r="O29" i="28"/>
  <c r="O31" i="28"/>
  <c r="O55" i="28"/>
  <c r="O68" i="28"/>
  <c r="O21" i="29"/>
  <c r="O23" i="29"/>
  <c r="O39" i="29"/>
  <c r="O54" i="29"/>
  <c r="P121" i="29"/>
  <c r="O20" i="31"/>
  <c r="O67" i="31"/>
  <c r="P116" i="34"/>
  <c r="P120" i="34"/>
  <c r="O32" i="35"/>
  <c r="O38" i="37"/>
  <c r="O46" i="37"/>
  <c r="O23" i="38"/>
  <c r="O35" i="38"/>
  <c r="B100" i="38"/>
  <c r="C101" i="38"/>
  <c r="C102" i="38" s="1"/>
  <c r="C103" i="38" s="1"/>
  <c r="C104" i="38" s="1"/>
  <c r="C105" i="38" s="1"/>
  <c r="C106" i="38" s="1"/>
  <c r="C107" i="38" s="1"/>
  <c r="C108" i="38" s="1"/>
  <c r="C109" i="38" s="1"/>
  <c r="C110" i="38" s="1"/>
  <c r="C111" i="38" s="1"/>
  <c r="C112" i="38" s="1"/>
  <c r="C113" i="38" s="1"/>
  <c r="C114" i="38" s="1"/>
  <c r="C115" i="38" s="1"/>
  <c r="C116" i="38" s="1"/>
  <c r="C117" i="38" s="1"/>
  <c r="C118" i="38" s="1"/>
  <c r="C119" i="38" s="1"/>
  <c r="C120" i="38" s="1"/>
  <c r="C121" i="38" s="1"/>
  <c r="C122" i="38" s="1"/>
  <c r="C123" i="38" s="1"/>
  <c r="C124" i="38" s="1"/>
  <c r="C125" i="38" s="1"/>
  <c r="C126" i="38" s="1"/>
  <c r="C127" i="38" s="1"/>
  <c r="C128" i="38" s="1"/>
  <c r="C129" i="38" s="1"/>
  <c r="C130" i="38" s="1"/>
  <c r="C131" i="38" s="1"/>
  <c r="C132" i="38" s="1"/>
  <c r="C133" i="38" s="1"/>
  <c r="C134" i="38" s="1"/>
  <c r="C135" i="38" s="1"/>
  <c r="C136" i="38" s="1"/>
  <c r="C137" i="38" s="1"/>
  <c r="C138" i="38" s="1"/>
  <c r="C139" i="38" s="1"/>
  <c r="C140" i="38" s="1"/>
  <c r="C141" i="38" s="1"/>
  <c r="C142" i="38" s="1"/>
  <c r="C143" i="38" s="1"/>
  <c r="C144" i="38" s="1"/>
  <c r="C145" i="38" s="1"/>
  <c r="C146" i="38" s="1"/>
  <c r="C147" i="38" s="1"/>
  <c r="C148" i="38" s="1"/>
  <c r="C149" i="38" s="1"/>
  <c r="C150" i="38" s="1"/>
  <c r="C151" i="38" s="1"/>
  <c r="C152" i="38" s="1"/>
  <c r="C153" i="38" s="1"/>
  <c r="C154" i="38" s="1"/>
  <c r="C155" i="38" s="1"/>
  <c r="B19" i="35"/>
  <c r="B21" i="25"/>
  <c r="B18" i="37"/>
  <c r="B23" i="27"/>
  <c r="B19" i="31"/>
  <c r="D94" i="22"/>
  <c r="C100" i="22" s="1"/>
  <c r="D95" i="22"/>
  <c r="P100" i="3"/>
  <c r="O17" i="28"/>
  <c r="P101" i="13"/>
  <c r="P120" i="19"/>
  <c r="P108" i="19"/>
  <c r="P103" i="20"/>
  <c r="P146" i="21"/>
  <c r="P142" i="21"/>
  <c r="P104" i="13"/>
  <c r="A9" i="17"/>
  <c r="P131" i="18"/>
  <c r="P127" i="18"/>
  <c r="P119" i="18"/>
  <c r="P115" i="18"/>
  <c r="P155" i="19"/>
  <c r="P151" i="19"/>
  <c r="P147" i="19"/>
  <c r="P143" i="19"/>
  <c r="P139" i="19"/>
  <c r="P135" i="19"/>
  <c r="P131" i="19"/>
  <c r="P115" i="19"/>
  <c r="P151" i="20"/>
  <c r="P115" i="20"/>
  <c r="P114" i="18"/>
  <c r="P110" i="18"/>
  <c r="P150" i="19"/>
  <c r="P146" i="19"/>
  <c r="P142" i="19"/>
  <c r="P130" i="19"/>
  <c r="P106" i="20"/>
  <c r="P133" i="21"/>
  <c r="P125" i="21"/>
  <c r="P146" i="4"/>
  <c r="P142" i="4"/>
  <c r="P138" i="4"/>
  <c r="P134" i="4"/>
  <c r="P126" i="4"/>
  <c r="P127" i="13"/>
  <c r="P119" i="13"/>
  <c r="P115" i="13"/>
  <c r="P111" i="13"/>
  <c r="P121" i="20"/>
  <c r="P113" i="20"/>
  <c r="P105" i="20"/>
  <c r="P132" i="21"/>
  <c r="P112" i="21"/>
  <c r="P101" i="19"/>
  <c r="P104" i="20"/>
  <c r="P151" i="21"/>
  <c r="P106" i="24"/>
  <c r="O43" i="29"/>
  <c r="O58" i="29"/>
  <c r="O54" i="31"/>
  <c r="O24" i="3"/>
  <c r="P105" i="18"/>
  <c r="O45" i="37"/>
  <c r="O24" i="18"/>
  <c r="P106" i="19"/>
  <c r="O22" i="27"/>
  <c r="P123" i="24"/>
  <c r="P104" i="19"/>
  <c r="P106" i="25"/>
  <c r="P110" i="25"/>
  <c r="P114" i="25"/>
  <c r="P122" i="25"/>
  <c r="P116" i="27"/>
  <c r="P124" i="27"/>
  <c r="P128" i="27"/>
  <c r="P103" i="19"/>
  <c r="O65" i="31"/>
  <c r="O31" i="34"/>
  <c r="O69" i="34"/>
  <c r="P106" i="3"/>
  <c r="O56" i="37"/>
  <c r="P104" i="27"/>
  <c r="O73" i="38"/>
  <c r="O21" i="28"/>
  <c r="O30" i="37"/>
  <c r="O47" i="37"/>
  <c r="P103" i="22"/>
  <c r="O22" i="24"/>
  <c r="O19" i="29"/>
  <c r="O31" i="38"/>
  <c r="P113" i="24"/>
  <c r="P121" i="24"/>
  <c r="P112" i="26"/>
  <c r="P120" i="26"/>
  <c r="P124" i="26"/>
  <c r="P121" i="27"/>
  <c r="P125" i="27"/>
  <c r="P129" i="27"/>
  <c r="O32" i="31"/>
  <c r="O17" i="34"/>
  <c r="P104" i="25"/>
  <c r="P116" i="25"/>
  <c r="P120" i="25"/>
  <c r="O21" i="21"/>
  <c r="O58" i="37"/>
  <c r="P107" i="3"/>
  <c r="O21" i="23"/>
  <c r="P104" i="24"/>
  <c r="P125" i="34"/>
  <c r="P102" i="38"/>
  <c r="P106" i="38"/>
  <c r="P114" i="38"/>
  <c r="P130" i="38"/>
  <c r="P113" i="28"/>
  <c r="P117" i="28"/>
  <c r="P125" i="28"/>
  <c r="P110" i="29"/>
  <c r="P114" i="29"/>
  <c r="P130" i="29"/>
  <c r="P125" i="31"/>
  <c r="P129" i="31"/>
  <c r="P137" i="31"/>
  <c r="P145" i="31"/>
  <c r="P102" i="34"/>
  <c r="P106" i="34"/>
  <c r="P110" i="34"/>
  <c r="P114" i="34"/>
  <c r="P126" i="34"/>
  <c r="P130" i="34"/>
  <c r="P103" i="37"/>
  <c r="P107" i="37"/>
  <c r="P111" i="37"/>
  <c r="P103" i="38"/>
  <c r="P119" i="38"/>
  <c r="P123" i="38"/>
  <c r="P127" i="38"/>
  <c r="P131" i="38"/>
  <c r="F88" i="2"/>
  <c r="F89" i="2" s="1"/>
  <c r="F91" i="2" s="1"/>
  <c r="F92" i="2" s="1"/>
  <c r="F93" i="2" s="1"/>
  <c r="P110" i="28"/>
  <c r="P130" i="31"/>
  <c r="P134" i="31"/>
  <c r="P146" i="31"/>
  <c r="P128" i="37"/>
  <c r="P101" i="38"/>
  <c r="P147" i="31"/>
  <c r="P155" i="3"/>
  <c r="P143" i="3"/>
  <c r="P139" i="3"/>
  <c r="P135" i="3"/>
  <c r="P131" i="3"/>
  <c r="P154" i="20"/>
  <c r="P142" i="20"/>
  <c r="P138" i="20"/>
  <c r="P134" i="20"/>
  <c r="P130" i="20"/>
  <c r="P126" i="20"/>
  <c r="P122" i="20"/>
  <c r="P118" i="20"/>
  <c r="P114" i="20"/>
  <c r="P110" i="20"/>
  <c r="P122" i="21"/>
  <c r="P118" i="21"/>
  <c r="P106" i="21"/>
  <c r="P108" i="22"/>
  <c r="P112" i="22"/>
  <c r="P116" i="23"/>
  <c r="P120" i="23"/>
  <c r="P124" i="23"/>
  <c r="P128" i="23"/>
  <c r="P107" i="25"/>
  <c r="P111" i="25"/>
  <c r="P115" i="25"/>
  <c r="P111" i="26"/>
  <c r="P115" i="26"/>
  <c r="P119" i="26"/>
  <c r="P127" i="26"/>
  <c r="P131" i="26"/>
  <c r="P105" i="31"/>
  <c r="P109" i="31"/>
  <c r="P113" i="31"/>
  <c r="P117" i="31"/>
  <c r="P121" i="31"/>
  <c r="P153" i="31"/>
  <c r="P103" i="34"/>
  <c r="P107" i="34"/>
  <c r="P123" i="34"/>
  <c r="P104" i="35"/>
  <c r="P108" i="35"/>
  <c r="P112" i="35"/>
  <c r="P116" i="35"/>
  <c r="P120" i="35"/>
  <c r="P123" i="37"/>
  <c r="P131" i="37"/>
  <c r="P116" i="38"/>
  <c r="P130" i="18"/>
  <c r="P122" i="19"/>
  <c r="P114" i="19"/>
  <c r="P149" i="21"/>
  <c r="P129" i="23"/>
  <c r="P117" i="24"/>
  <c r="P125" i="24"/>
  <c r="P129" i="24"/>
  <c r="P126" i="31"/>
  <c r="P150" i="31"/>
  <c r="P154" i="31"/>
  <c r="P105" i="35"/>
  <c r="P109" i="35"/>
  <c r="P113" i="35"/>
  <c r="P117" i="35"/>
  <c r="P150" i="3"/>
  <c r="P117" i="20"/>
  <c r="P152" i="21"/>
  <c r="P110" i="22"/>
  <c r="P108" i="25"/>
  <c r="P117" i="26"/>
  <c r="P106" i="27"/>
  <c r="P110" i="27"/>
  <c r="P114" i="27"/>
  <c r="P118" i="27"/>
  <c r="P122" i="27"/>
  <c r="P126" i="27"/>
  <c r="P130" i="27"/>
  <c r="P107" i="28"/>
  <c r="P123" i="28"/>
  <c r="P127" i="28"/>
  <c r="P108" i="29"/>
  <c r="P112" i="29"/>
  <c r="P116" i="29"/>
  <c r="P120" i="29"/>
  <c r="P124" i="29"/>
  <c r="P128" i="29"/>
  <c r="P103" i="31"/>
  <c r="P119" i="31"/>
  <c r="P117" i="37"/>
  <c r="P129" i="38"/>
  <c r="P141" i="18"/>
  <c r="P118" i="38"/>
  <c r="P122" i="38"/>
  <c r="P105" i="13"/>
  <c r="P132" i="18"/>
  <c r="P139" i="21"/>
  <c r="P128" i="21"/>
  <c r="P125" i="25"/>
  <c r="P116" i="28"/>
  <c r="P120" i="28"/>
  <c r="P128" i="3"/>
  <c r="P124" i="3"/>
  <c r="P120" i="3"/>
  <c r="P116" i="3"/>
  <c r="P112" i="3"/>
  <c r="P155" i="4"/>
  <c r="P151" i="4"/>
  <c r="P147" i="4"/>
  <c r="P143" i="4"/>
  <c r="P139" i="4"/>
  <c r="P135" i="4"/>
  <c r="P131" i="4"/>
  <c r="P127" i="4"/>
  <c r="P123" i="4"/>
  <c r="P119" i="4"/>
  <c r="P115" i="4"/>
  <c r="P111" i="4"/>
  <c r="P147" i="20"/>
  <c r="P143" i="20"/>
  <c r="P127" i="21"/>
  <c r="P115" i="21"/>
  <c r="P106" i="26"/>
  <c r="P118" i="26"/>
  <c r="P108" i="27"/>
  <c r="P126" i="29"/>
  <c r="P119" i="37"/>
  <c r="P116" i="4"/>
  <c r="P152" i="19"/>
  <c r="P148" i="19"/>
  <c r="P140" i="19"/>
  <c r="P136" i="19"/>
  <c r="P128" i="19"/>
  <c r="P116" i="19"/>
  <c r="P144" i="20"/>
  <c r="P106" i="22"/>
  <c r="P114" i="23"/>
  <c r="P122" i="23"/>
  <c r="P126" i="23"/>
  <c r="P130" i="23"/>
  <c r="P110" i="24"/>
  <c r="P109" i="26"/>
  <c r="P113" i="26"/>
  <c r="P125" i="26"/>
  <c r="P131" i="28"/>
  <c r="P107" i="31"/>
  <c r="P111" i="31"/>
  <c r="P116" i="37"/>
  <c r="P120" i="37"/>
  <c r="P108" i="38"/>
  <c r="P112" i="38"/>
  <c r="P124" i="38"/>
  <c r="P128" i="18"/>
  <c r="P124" i="18"/>
  <c r="P120" i="18"/>
  <c r="P116" i="18"/>
  <c r="P112" i="18"/>
  <c r="P108" i="18"/>
  <c r="P127" i="24"/>
  <c r="P143" i="31"/>
  <c r="P121" i="35"/>
  <c r="P124" i="13"/>
  <c r="P116" i="13"/>
  <c r="P108" i="13"/>
  <c r="P111" i="19"/>
  <c r="P118" i="25"/>
  <c r="P112" i="27"/>
  <c r="P125" i="38"/>
  <c r="P150" i="4"/>
  <c r="P122" i="4"/>
  <c r="P131" i="13"/>
  <c r="P111" i="20"/>
  <c r="P107" i="20"/>
  <c r="P150" i="21"/>
  <c r="P119" i="21"/>
  <c r="P120" i="24"/>
  <c r="P124" i="24"/>
  <c r="P128" i="24"/>
  <c r="P120" i="27"/>
  <c r="P118" i="29"/>
  <c r="P122" i="29"/>
  <c r="P132" i="31"/>
  <c r="P136" i="31"/>
  <c r="P140" i="31"/>
  <c r="P109" i="34"/>
  <c r="P110" i="4"/>
  <c r="P126" i="19"/>
  <c r="P107" i="13"/>
  <c r="P134" i="21"/>
  <c r="P110" i="21"/>
  <c r="P114" i="28"/>
  <c r="P107" i="29"/>
  <c r="P148" i="31"/>
  <c r="P152" i="31"/>
  <c r="P142" i="3"/>
  <c r="P118" i="3"/>
  <c r="P149" i="4"/>
  <c r="P113" i="4"/>
  <c r="P102" i="13"/>
  <c r="P153" i="18"/>
  <c r="P149" i="18"/>
  <c r="P129" i="18"/>
  <c r="P121" i="18"/>
  <c r="P117" i="18"/>
  <c r="P137" i="19"/>
  <c r="P133" i="19"/>
  <c r="P129" i="19"/>
  <c r="P125" i="19"/>
  <c r="P113" i="19"/>
  <c r="P129" i="21"/>
  <c r="P117" i="21"/>
  <c r="P108" i="26"/>
  <c r="P116" i="26"/>
  <c r="P119" i="28"/>
  <c r="P128" i="4"/>
  <c r="P121" i="19"/>
  <c r="P110" i="19"/>
  <c r="P154" i="21"/>
  <c r="P147" i="21"/>
  <c r="P143" i="21"/>
  <c r="P131" i="21"/>
  <c r="P113" i="21"/>
  <c r="P109" i="21"/>
  <c r="P109" i="22"/>
  <c r="P112" i="24"/>
  <c r="P123" i="26"/>
  <c r="P108" i="28"/>
  <c r="P130" i="28"/>
  <c r="P104" i="29"/>
  <c r="P102" i="31"/>
  <c r="P104" i="34"/>
  <c r="P108" i="34"/>
  <c r="P128" i="34"/>
  <c r="P106" i="35"/>
  <c r="P113" i="37"/>
  <c r="P124" i="37"/>
  <c r="P114" i="31"/>
  <c r="P118" i="31"/>
  <c r="P151" i="31"/>
  <c r="P155" i="31"/>
  <c r="P126" i="35"/>
  <c r="P152" i="3"/>
  <c r="P148" i="3"/>
  <c r="P144" i="3"/>
  <c r="P140" i="3"/>
  <c r="P118" i="18"/>
  <c r="P114" i="22"/>
  <c r="P115" i="31"/>
  <c r="P144" i="31"/>
  <c r="P117" i="38"/>
  <c r="P140" i="20"/>
  <c r="P136" i="20"/>
  <c r="P132" i="20"/>
  <c r="P128" i="20"/>
  <c r="P109" i="20"/>
  <c r="P113" i="29"/>
  <c r="P117" i="29"/>
  <c r="P118" i="37"/>
  <c r="P154" i="19"/>
  <c r="P123" i="19"/>
  <c r="P119" i="19"/>
  <c r="P141" i="21"/>
  <c r="P128" i="26"/>
  <c r="P138" i="31"/>
  <c r="P141" i="31"/>
  <c r="P149" i="31"/>
  <c r="P118" i="34"/>
  <c r="P115" i="38"/>
  <c r="P126" i="38"/>
  <c r="P119" i="23"/>
  <c r="P102" i="29"/>
  <c r="P115" i="37"/>
  <c r="P126" i="3"/>
  <c r="P122" i="3"/>
  <c r="P114" i="3"/>
  <c r="P153" i="4"/>
  <c r="P145" i="4"/>
  <c r="P141" i="4"/>
  <c r="P137" i="4"/>
  <c r="P133" i="4"/>
  <c r="P125" i="4"/>
  <c r="P109" i="4"/>
  <c r="P151" i="18"/>
  <c r="P147" i="18"/>
  <c r="P143" i="18"/>
  <c r="P139" i="18"/>
  <c r="P135" i="18"/>
  <c r="P138" i="19"/>
  <c r="P118" i="19"/>
  <c r="P121" i="21"/>
  <c r="P128" i="22"/>
  <c r="P108" i="23"/>
  <c r="P112" i="23"/>
  <c r="P105" i="26"/>
  <c r="P126" i="26"/>
  <c r="P111" i="28"/>
  <c r="P115" i="28"/>
  <c r="P111" i="34"/>
  <c r="P115" i="34"/>
  <c r="P127" i="34"/>
  <c r="P131" i="34"/>
  <c r="P124" i="35"/>
  <c r="P128" i="35"/>
  <c r="P104" i="38"/>
  <c r="P117" i="19"/>
  <c r="P116" i="22"/>
  <c r="P120" i="22"/>
  <c r="P124" i="22"/>
  <c r="P117" i="27"/>
  <c r="P124" i="28"/>
  <c r="P104" i="37"/>
  <c r="P108" i="37"/>
  <c r="P112" i="37"/>
  <c r="P107" i="38"/>
  <c r="P111" i="38"/>
  <c r="J96" i="38"/>
  <c r="F18" i="2"/>
  <c r="P121" i="28"/>
  <c r="P145" i="18"/>
  <c r="P137" i="18"/>
  <c r="P133" i="18"/>
  <c r="P113" i="22"/>
  <c r="P130" i="25"/>
  <c r="P127" i="19"/>
  <c r="P137" i="21"/>
  <c r="P111" i="27"/>
  <c r="P128" i="38"/>
  <c r="C22" i="2"/>
  <c r="C55" i="2"/>
  <c r="C39" i="2"/>
  <c r="C82" i="2"/>
  <c r="C79" i="2"/>
  <c r="C8" i="2"/>
  <c r="C10" i="2"/>
  <c r="C56" i="2"/>
  <c r="C73" i="2"/>
  <c r="C62" i="2"/>
  <c r="C61" i="2"/>
  <c r="C80" i="2"/>
  <c r="P113" i="18"/>
  <c r="P111" i="29"/>
  <c r="P127" i="29"/>
  <c r="P142" i="31"/>
  <c r="F17" i="2"/>
  <c r="P107" i="24"/>
  <c r="P114" i="24"/>
  <c r="P100" i="13"/>
  <c r="P100" i="20"/>
  <c r="P155" i="21"/>
  <c r="P112" i="34"/>
  <c r="P105" i="22"/>
  <c r="P131" i="23"/>
  <c r="P134" i="3"/>
  <c r="P154" i="4"/>
  <c r="P118" i="4"/>
  <c r="P114" i="4"/>
  <c r="P155" i="18"/>
  <c r="P152" i="20"/>
  <c r="P148" i="20"/>
  <c r="P110" i="3"/>
  <c r="P123" i="18"/>
  <c r="P122" i="22"/>
  <c r="P130" i="22"/>
  <c r="P117" i="3"/>
  <c r="P148" i="4"/>
  <c r="P136" i="4"/>
  <c r="P146" i="18"/>
  <c r="P126" i="18"/>
  <c r="P111" i="18"/>
  <c r="P150" i="20"/>
  <c r="P146" i="20"/>
  <c r="P115" i="22"/>
  <c r="C128" i="23"/>
  <c r="C129" i="23" s="1"/>
  <c r="C130" i="23" s="1"/>
  <c r="C131" i="23" s="1"/>
  <c r="C132" i="23" s="1"/>
  <c r="C133" i="23" s="1"/>
  <c r="C134" i="23" s="1"/>
  <c r="C135" i="23" s="1"/>
  <c r="C136" i="23" s="1"/>
  <c r="C137" i="23" s="1"/>
  <c r="C138" i="23" s="1"/>
  <c r="C139" i="23" s="1"/>
  <c r="C140" i="23" s="1"/>
  <c r="C141" i="23" s="1"/>
  <c r="C142" i="23" s="1"/>
  <c r="C143" i="23" s="1"/>
  <c r="C144" i="23" s="1"/>
  <c r="C145" i="23" s="1"/>
  <c r="C146" i="23" s="1"/>
  <c r="C147" i="23" s="1"/>
  <c r="C148" i="23" s="1"/>
  <c r="C149" i="23" s="1"/>
  <c r="C150" i="23" s="1"/>
  <c r="C151" i="23" s="1"/>
  <c r="C152" i="23" s="1"/>
  <c r="C153" i="23" s="1"/>
  <c r="C154" i="23" s="1"/>
  <c r="C155" i="23" s="1"/>
  <c r="D95" i="35"/>
  <c r="D94" i="35"/>
  <c r="C128" i="18"/>
  <c r="C129" i="18" s="1"/>
  <c r="C130" i="18" s="1"/>
  <c r="C131" i="18" s="1"/>
  <c r="C132" i="18" s="1"/>
  <c r="C133" i="18" s="1"/>
  <c r="C134" i="18" s="1"/>
  <c r="C135" i="18" s="1"/>
  <c r="C136" i="18" s="1"/>
  <c r="C137" i="18" s="1"/>
  <c r="C138" i="18" s="1"/>
  <c r="C139" i="18" s="1"/>
  <c r="C140" i="18" s="1"/>
  <c r="C141" i="18" s="1"/>
  <c r="C142" i="18" s="1"/>
  <c r="C143" i="18" s="1"/>
  <c r="C144" i="18" s="1"/>
  <c r="C145" i="18" s="1"/>
  <c r="C146" i="18" s="1"/>
  <c r="C147" i="18" s="1"/>
  <c r="C148" i="18" s="1"/>
  <c r="C149" i="18" s="1"/>
  <c r="C150" i="18" s="1"/>
  <c r="C151" i="18" s="1"/>
  <c r="C152" i="18" s="1"/>
  <c r="C153" i="18" s="1"/>
  <c r="C154" i="18" s="1"/>
  <c r="C155" i="18" s="1"/>
  <c r="P111" i="23"/>
  <c r="P107" i="22"/>
  <c r="P118" i="23"/>
  <c r="C28" i="17"/>
  <c r="C38" i="17"/>
  <c r="C36" i="17"/>
  <c r="C37" i="17"/>
  <c r="C21" i="17"/>
  <c r="C23" i="17"/>
  <c r="C30" i="17"/>
  <c r="C26" i="17"/>
  <c r="C29" i="17"/>
  <c r="C22" i="17"/>
  <c r="C25" i="17"/>
  <c r="C40" i="17"/>
  <c r="C39" i="17"/>
  <c r="C18" i="17"/>
  <c r="C27" i="17"/>
  <c r="C24" i="17"/>
  <c r="C33" i="17"/>
  <c r="C31" i="17"/>
  <c r="C20" i="17"/>
  <c r="C32" i="17"/>
  <c r="C19" i="17"/>
  <c r="C35" i="17"/>
  <c r="C34" i="17"/>
  <c r="N100" i="40" l="1"/>
  <c r="O100" i="40" s="1"/>
  <c r="P100" i="40" s="1"/>
  <c r="J100" i="40"/>
  <c r="L100" i="42"/>
  <c r="M100" i="42" s="1"/>
  <c r="H156" i="42"/>
  <c r="I100" i="42"/>
  <c r="I101" i="42"/>
  <c r="J101" i="42" s="1"/>
  <c r="I102" i="42"/>
  <c r="J102" i="42" s="1"/>
  <c r="I103" i="42"/>
  <c r="J103" i="42" s="1"/>
  <c r="I104" i="42"/>
  <c r="J104" i="42" s="1"/>
  <c r="I105" i="42"/>
  <c r="J105" i="42" s="1"/>
  <c r="I106" i="42"/>
  <c r="J106" i="42" s="1"/>
  <c r="I107" i="42"/>
  <c r="J107" i="42" s="1"/>
  <c r="I108" i="42"/>
  <c r="J108" i="42" s="1"/>
  <c r="I109" i="42"/>
  <c r="J109" i="42" s="1"/>
  <c r="I110" i="42"/>
  <c r="J110" i="42" s="1"/>
  <c r="I111" i="42"/>
  <c r="J111" i="42" s="1"/>
  <c r="I112" i="42"/>
  <c r="J112" i="42" s="1"/>
  <c r="I113" i="42"/>
  <c r="J113" i="42" s="1"/>
  <c r="I114" i="42"/>
  <c r="J114" i="42" s="1"/>
  <c r="I115" i="42"/>
  <c r="J115" i="42" s="1"/>
  <c r="I116" i="42"/>
  <c r="J116" i="42" s="1"/>
  <c r="I117" i="42"/>
  <c r="J117" i="42" s="1"/>
  <c r="I118" i="42"/>
  <c r="J118" i="42" s="1"/>
  <c r="I119" i="42"/>
  <c r="J119" i="42" s="1"/>
  <c r="I120" i="42"/>
  <c r="J120" i="42" s="1"/>
  <c r="I121" i="42"/>
  <c r="J121" i="42" s="1"/>
  <c r="I122" i="42"/>
  <c r="J122" i="42" s="1"/>
  <c r="I123" i="42"/>
  <c r="J123" i="42" s="1"/>
  <c r="I124" i="42"/>
  <c r="J124" i="42" s="1"/>
  <c r="I125" i="42"/>
  <c r="J125" i="42" s="1"/>
  <c r="I126" i="42"/>
  <c r="J126" i="42" s="1"/>
  <c r="I127" i="42"/>
  <c r="J127" i="42" s="1"/>
  <c r="I128" i="42"/>
  <c r="J128" i="42" s="1"/>
  <c r="I129" i="42"/>
  <c r="J129" i="42" s="1"/>
  <c r="I130" i="42"/>
  <c r="J130" i="42" s="1"/>
  <c r="I131" i="42"/>
  <c r="J131" i="42" s="1"/>
  <c r="I132" i="42"/>
  <c r="I133" i="42"/>
  <c r="I134" i="42"/>
  <c r="I135" i="42"/>
  <c r="I136" i="42"/>
  <c r="I137" i="42"/>
  <c r="I138" i="42"/>
  <c r="I139" i="42"/>
  <c r="I140" i="42"/>
  <c r="I141" i="42"/>
  <c r="I142" i="42"/>
  <c r="I143" i="42"/>
  <c r="I144" i="42"/>
  <c r="I145" i="42"/>
  <c r="I146" i="42"/>
  <c r="I147" i="42"/>
  <c r="I148" i="42"/>
  <c r="I149" i="42"/>
  <c r="I150" i="42"/>
  <c r="I151" i="42"/>
  <c r="I152" i="42"/>
  <c r="I153" i="42"/>
  <c r="I154" i="42"/>
  <c r="I155" i="42"/>
  <c r="I156" i="42" s="1"/>
  <c r="N100" i="41"/>
  <c r="O100" i="41" s="1"/>
  <c r="P100" i="41" s="1"/>
  <c r="J100" i="41"/>
  <c r="D96" i="41"/>
  <c r="J97" i="41" s="1"/>
  <c r="D96" i="40"/>
  <c r="J97" i="40" s="1"/>
  <c r="D96" i="42"/>
  <c r="D96" i="27"/>
  <c r="J97" i="27" s="1"/>
  <c r="D96" i="39"/>
  <c r="J97" i="39" s="1"/>
  <c r="F100" i="20"/>
  <c r="D101" i="20" s="1"/>
  <c r="E101" i="20" s="1"/>
  <c r="I13" i="27"/>
  <c r="I13" i="39"/>
  <c r="C128" i="4"/>
  <c r="C129" i="4" s="1"/>
  <c r="C130" i="4" s="1"/>
  <c r="C131" i="4" s="1"/>
  <c r="C132" i="4" s="1"/>
  <c r="C133" i="4" s="1"/>
  <c r="C134" i="4" s="1"/>
  <c r="C135" i="4" s="1"/>
  <c r="C136" i="4" s="1"/>
  <c r="C137" i="4" s="1"/>
  <c r="C138" i="4" s="1"/>
  <c r="C139" i="4" s="1"/>
  <c r="C140" i="4" s="1"/>
  <c r="C141" i="4" s="1"/>
  <c r="C142" i="4" s="1"/>
  <c r="C143" i="4" s="1"/>
  <c r="C144" i="4" s="1"/>
  <c r="C145" i="4" s="1"/>
  <c r="C146" i="4" s="1"/>
  <c r="C147" i="4" s="1"/>
  <c r="C148" i="4" s="1"/>
  <c r="C149" i="4" s="1"/>
  <c r="C150" i="4" s="1"/>
  <c r="C151" i="4" s="1"/>
  <c r="C152" i="4" s="1"/>
  <c r="C153" i="4" s="1"/>
  <c r="C154" i="4" s="1"/>
  <c r="C155" i="4" s="1"/>
  <c r="C128" i="20"/>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D100" i="20"/>
  <c r="B100" i="20" s="1"/>
  <c r="C101" i="22"/>
  <c r="C102" i="22" s="1"/>
  <c r="C103" i="22" s="1"/>
  <c r="C104" i="22" s="1"/>
  <c r="C105" i="22" s="1"/>
  <c r="C106" i="22" s="1"/>
  <c r="C107" i="22" s="1"/>
  <c r="C108" i="22" s="1"/>
  <c r="C109" i="22" s="1"/>
  <c r="C110" i="22" s="1"/>
  <c r="C111" i="22" s="1"/>
  <c r="C112" i="22" s="1"/>
  <c r="C113" i="22" s="1"/>
  <c r="C114" i="22" s="1"/>
  <c r="C115" i="22" s="1"/>
  <c r="C116" i="22" s="1"/>
  <c r="C117" i="22" s="1"/>
  <c r="C118" i="22" s="1"/>
  <c r="C119" i="22" s="1"/>
  <c r="C120" i="22" s="1"/>
  <c r="C121" i="22" s="1"/>
  <c r="C122" i="22" s="1"/>
  <c r="C123" i="22" s="1"/>
  <c r="C124" i="22" s="1"/>
  <c r="C125" i="22" s="1"/>
  <c r="C126" i="22" s="1"/>
  <c r="C127" i="22" s="1"/>
  <c r="C128" i="22" s="1"/>
  <c r="C129" i="22" s="1"/>
  <c r="C130" i="22" s="1"/>
  <c r="C131" i="22" s="1"/>
  <c r="C132" i="22" s="1"/>
  <c r="C133" i="22" s="1"/>
  <c r="C134" i="22" s="1"/>
  <c r="C135" i="22" s="1"/>
  <c r="C136" i="22" s="1"/>
  <c r="C137" i="22" s="1"/>
  <c r="C138" i="22" s="1"/>
  <c r="C139" i="22" s="1"/>
  <c r="C140" i="22" s="1"/>
  <c r="C141" i="22" s="1"/>
  <c r="C142" i="22" s="1"/>
  <c r="C143" i="22" s="1"/>
  <c r="C144" i="22" s="1"/>
  <c r="C145" i="22" s="1"/>
  <c r="C146" i="22" s="1"/>
  <c r="C147" i="22" s="1"/>
  <c r="C148" i="22" s="1"/>
  <c r="C149" i="22" s="1"/>
  <c r="C150" i="22" s="1"/>
  <c r="C151" i="22" s="1"/>
  <c r="C152" i="22" s="1"/>
  <c r="C153" i="22" s="1"/>
  <c r="C154" i="22" s="1"/>
  <c r="C155" i="22" s="1"/>
  <c r="C128" i="29"/>
  <c r="C129" i="29" s="1"/>
  <c r="C130" i="29" s="1"/>
  <c r="C131" i="29" s="1"/>
  <c r="C132" i="29" s="1"/>
  <c r="C133" i="29" s="1"/>
  <c r="C134" i="29" s="1"/>
  <c r="C135" i="29" s="1"/>
  <c r="C136" i="29" s="1"/>
  <c r="C137" i="29" s="1"/>
  <c r="C138" i="29" s="1"/>
  <c r="C139" i="29" s="1"/>
  <c r="C140" i="29" s="1"/>
  <c r="C141" i="29" s="1"/>
  <c r="C142" i="29" s="1"/>
  <c r="C143" i="29" s="1"/>
  <c r="C144" i="29" s="1"/>
  <c r="C145" i="29" s="1"/>
  <c r="C146" i="29" s="1"/>
  <c r="C147" i="29" s="1"/>
  <c r="C148" i="29" s="1"/>
  <c r="C149" i="29" s="1"/>
  <c r="C150" i="29" s="1"/>
  <c r="C151" i="29" s="1"/>
  <c r="C152" i="29" s="1"/>
  <c r="C153" i="29" s="1"/>
  <c r="C154" i="29" s="1"/>
  <c r="C155" i="29" s="1"/>
  <c r="C101" i="13"/>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F100" i="13"/>
  <c r="G18" i="20"/>
  <c r="E19" i="20"/>
  <c r="F19" i="20" s="1"/>
  <c r="H18" i="20"/>
  <c r="F20" i="1"/>
  <c r="E25" i="1" s="1"/>
  <c r="E26" i="1" s="1"/>
  <c r="E30" i="1" s="1"/>
  <c r="I13" i="13"/>
  <c r="G17" i="13"/>
  <c r="I13" i="24"/>
  <c r="D19" i="13"/>
  <c r="G18" i="13"/>
  <c r="D96" i="24"/>
  <c r="J97" i="24" s="1"/>
  <c r="D96" i="29"/>
  <c r="J97" i="29" s="1"/>
  <c r="D96" i="23"/>
  <c r="J97" i="23" s="1"/>
  <c r="D96" i="21"/>
  <c r="J97" i="21" s="1"/>
  <c r="D96" i="18"/>
  <c r="J97" i="18" s="1"/>
  <c r="D96" i="20"/>
  <c r="D96" i="38"/>
  <c r="J97" i="38" s="1"/>
  <c r="D96" i="13"/>
  <c r="D96" i="34"/>
  <c r="J97" i="34" s="1"/>
  <c r="E104" i="34" s="1"/>
  <c r="F104" i="34" s="1"/>
  <c r="G104" i="34" s="1"/>
  <c r="H104" i="34" s="1"/>
  <c r="D96" i="22"/>
  <c r="J97" i="22" s="1"/>
  <c r="D96" i="3"/>
  <c r="J97" i="3" s="1"/>
  <c r="D96" i="4"/>
  <c r="J97" i="4" s="1"/>
  <c r="D96" i="31"/>
  <c r="J97" i="31" s="1"/>
  <c r="D96" i="37"/>
  <c r="J97" i="37" s="1"/>
  <c r="D96" i="35"/>
  <c r="J97" i="35" s="1"/>
  <c r="D96" i="26"/>
  <c r="J97" i="26" s="1"/>
  <c r="D96" i="28"/>
  <c r="J97" i="28" s="1"/>
  <c r="D96" i="19"/>
  <c r="J97" i="19" s="1"/>
  <c r="D96" i="25"/>
  <c r="J97" i="25" s="1"/>
  <c r="C128" i="25"/>
  <c r="C129" i="25" s="1"/>
  <c r="C130" i="25" s="1"/>
  <c r="C131" i="25" s="1"/>
  <c r="C132" i="25" s="1"/>
  <c r="C133" i="25" s="1"/>
  <c r="C134" i="25" s="1"/>
  <c r="C135" i="25" s="1"/>
  <c r="C136" i="25" s="1"/>
  <c r="C137" i="25" s="1"/>
  <c r="C138" i="25" s="1"/>
  <c r="C139" i="25" s="1"/>
  <c r="C140" i="25" s="1"/>
  <c r="C141" i="25" s="1"/>
  <c r="C142" i="25" s="1"/>
  <c r="C143" i="25" s="1"/>
  <c r="C144" i="25" s="1"/>
  <c r="C145" i="25" s="1"/>
  <c r="C146" i="25" s="1"/>
  <c r="C147" i="25" s="1"/>
  <c r="C148" i="25" s="1"/>
  <c r="C149" i="25" s="1"/>
  <c r="C150" i="25" s="1"/>
  <c r="C151" i="25" s="1"/>
  <c r="C152" i="25" s="1"/>
  <c r="C153" i="25" s="1"/>
  <c r="C154" i="25" s="1"/>
  <c r="C155" i="25" s="1"/>
  <c r="C100" i="35"/>
  <c r="C101" i="35" s="1"/>
  <c r="C102" i="35" s="1"/>
  <c r="C103" i="35" s="1"/>
  <c r="C104" i="35" s="1"/>
  <c r="C105" i="35" s="1"/>
  <c r="C106" i="35" s="1"/>
  <c r="C107" i="35" s="1"/>
  <c r="C108" i="35" s="1"/>
  <c r="C109" i="35" s="1"/>
  <c r="C110" i="35" s="1"/>
  <c r="C111" i="35" s="1"/>
  <c r="C112" i="35" s="1"/>
  <c r="C113" i="35" s="1"/>
  <c r="C114" i="35" s="1"/>
  <c r="C115" i="35" s="1"/>
  <c r="C116" i="35" s="1"/>
  <c r="C117" i="35" s="1"/>
  <c r="C118" i="35" s="1"/>
  <c r="C119" i="35" s="1"/>
  <c r="C120" i="35" s="1"/>
  <c r="C121" i="35" s="1"/>
  <c r="C122" i="35" s="1"/>
  <c r="C123" i="35" s="1"/>
  <c r="C124" i="35" s="1"/>
  <c r="C125" i="35" s="1"/>
  <c r="C126" i="35" s="1"/>
  <c r="C127" i="35" s="1"/>
  <c r="J100" i="42" l="1"/>
  <c r="J156" i="42" s="1"/>
  <c r="N100" i="42"/>
  <c r="O100" i="42" s="1"/>
  <c r="P100" i="42" s="1"/>
  <c r="E100" i="37"/>
  <c r="E103" i="37"/>
  <c r="E101" i="40"/>
  <c r="F101" i="40" s="1"/>
  <c r="E101" i="39"/>
  <c r="E101" i="41"/>
  <c r="G100" i="20"/>
  <c r="H100" i="20" s="1"/>
  <c r="L100" i="38"/>
  <c r="M100" i="38" s="1"/>
  <c r="N100" i="38"/>
  <c r="O100" i="38" s="1"/>
  <c r="E32" i="1"/>
  <c r="E33" i="1" s="1"/>
  <c r="F52" i="1"/>
  <c r="G100" i="13"/>
  <c r="D101" i="13"/>
  <c r="I18" i="20"/>
  <c r="B20" i="20"/>
  <c r="H19" i="20"/>
  <c r="G19" i="20"/>
  <c r="E20" i="20"/>
  <c r="F20" i="20" s="1"/>
  <c r="H20" i="20" s="1"/>
  <c r="B19" i="13"/>
  <c r="H17" i="13"/>
  <c r="I17" i="13" s="1"/>
  <c r="H18" i="13"/>
  <c r="E19" i="13"/>
  <c r="F19" i="13" s="1"/>
  <c r="B101" i="20"/>
  <c r="F101" i="20"/>
  <c r="C128" i="35"/>
  <c r="C129" i="35" s="1"/>
  <c r="C130" i="35" s="1"/>
  <c r="C131" i="35" s="1"/>
  <c r="C132" i="35" s="1"/>
  <c r="C133" i="35" s="1"/>
  <c r="C134" i="35" s="1"/>
  <c r="C135" i="35" s="1"/>
  <c r="C136" i="35" s="1"/>
  <c r="C137" i="35" s="1"/>
  <c r="C138" i="35" s="1"/>
  <c r="C139" i="35" s="1"/>
  <c r="C140" i="35" s="1"/>
  <c r="C141" i="35" s="1"/>
  <c r="C142" i="35" s="1"/>
  <c r="C143" i="35" s="1"/>
  <c r="C144" i="35" s="1"/>
  <c r="C145" i="35" s="1"/>
  <c r="C146" i="35" s="1"/>
  <c r="C147" i="35" s="1"/>
  <c r="C148" i="35" s="1"/>
  <c r="C149" i="35" s="1"/>
  <c r="C150" i="35" s="1"/>
  <c r="C151" i="35" s="1"/>
  <c r="C152" i="35" s="1"/>
  <c r="C153" i="35" s="1"/>
  <c r="C154" i="35" s="1"/>
  <c r="C155" i="35" s="1"/>
  <c r="F100" i="37" l="1"/>
  <c r="G100" i="37" s="1"/>
  <c r="H100" i="37" s="1"/>
  <c r="D103" i="37"/>
  <c r="F103" i="37" s="1"/>
  <c r="G103" i="37" s="1"/>
  <c r="H103" i="37" s="1"/>
  <c r="F101" i="41"/>
  <c r="F101" i="39"/>
  <c r="G101" i="40"/>
  <c r="I101" i="40" s="1"/>
  <c r="H101" i="40"/>
  <c r="D102" i="40"/>
  <c r="M28" i="4"/>
  <c r="N28" i="4" s="1"/>
  <c r="K28" i="4"/>
  <c r="L28" i="4" s="1"/>
  <c r="O28" i="4" s="1"/>
  <c r="E36" i="1"/>
  <c r="F53" i="1" s="1"/>
  <c r="F54" i="1" s="1"/>
  <c r="B21" i="20"/>
  <c r="I100" i="20"/>
  <c r="J100" i="20" s="1"/>
  <c r="J100" i="38"/>
  <c r="B101" i="38"/>
  <c r="P100" i="38"/>
  <c r="J104" i="23"/>
  <c r="E101" i="13"/>
  <c r="F101" i="13" s="1"/>
  <c r="B101" i="13"/>
  <c r="H100" i="13"/>
  <c r="I100" i="13"/>
  <c r="I19" i="20"/>
  <c r="G20" i="20"/>
  <c r="I20" i="20" s="1"/>
  <c r="E21" i="20"/>
  <c r="F21" i="20" s="1"/>
  <c r="D20" i="13"/>
  <c r="E20" i="13" s="1"/>
  <c r="F20" i="13" s="1"/>
  <c r="D21" i="13" s="1"/>
  <c r="H19" i="13"/>
  <c r="G19" i="13"/>
  <c r="I18" i="13"/>
  <c r="B23" i="23"/>
  <c r="I22" i="23"/>
  <c r="B104" i="25"/>
  <c r="B108" i="19"/>
  <c r="G101" i="20"/>
  <c r="D102" i="20"/>
  <c r="B102" i="20" s="1"/>
  <c r="B105" i="22"/>
  <c r="B109" i="3"/>
  <c r="B102" i="40" l="1"/>
  <c r="E102" i="40"/>
  <c r="F102" i="40" s="1"/>
  <c r="D102" i="39"/>
  <c r="G101" i="39"/>
  <c r="I101" i="39" s="1"/>
  <c r="H101" i="39"/>
  <c r="E102" i="39"/>
  <c r="J101" i="40"/>
  <c r="D102" i="41"/>
  <c r="H101" i="41"/>
  <c r="G101" i="41"/>
  <c r="I101" i="41" s="1"/>
  <c r="M28" i="3"/>
  <c r="N28" i="3" s="1"/>
  <c r="K28" i="3"/>
  <c r="L28" i="3" s="1"/>
  <c r="O28" i="3" s="1"/>
  <c r="M27" i="19"/>
  <c r="N27" i="19" s="1"/>
  <c r="K27" i="19"/>
  <c r="L27" i="19" s="1"/>
  <c r="M27" i="18"/>
  <c r="N27" i="18" s="1"/>
  <c r="K27" i="18"/>
  <c r="L27" i="18" s="1"/>
  <c r="F61" i="1"/>
  <c r="F64" i="1" s="1"/>
  <c r="F66" i="1" s="1"/>
  <c r="F68" i="1" s="1"/>
  <c r="F74" i="1"/>
  <c r="F75" i="1" s="1"/>
  <c r="J105" i="23"/>
  <c r="D102" i="13"/>
  <c r="G101" i="13"/>
  <c r="J100" i="13"/>
  <c r="I23" i="23"/>
  <c r="E21" i="13"/>
  <c r="F21" i="13" s="1"/>
  <c r="B21" i="13"/>
  <c r="I19" i="13"/>
  <c r="B20" i="13"/>
  <c r="H20" i="13"/>
  <c r="G20" i="13"/>
  <c r="I26" i="3"/>
  <c r="B27" i="3"/>
  <c r="B22" i="20"/>
  <c r="G21" i="20"/>
  <c r="H21" i="20"/>
  <c r="E22" i="20"/>
  <c r="F69" i="1"/>
  <c r="F70" i="1" s="1"/>
  <c r="F55" i="1" s="1"/>
  <c r="F56" i="1" s="1"/>
  <c r="F58" i="1" s="1"/>
  <c r="F77" i="1" s="1"/>
  <c r="F78" i="1" s="1"/>
  <c r="F80" i="1" s="1"/>
  <c r="B108" i="18"/>
  <c r="E102" i="20"/>
  <c r="F102" i="20" s="1"/>
  <c r="G102" i="20" s="1"/>
  <c r="B109" i="4"/>
  <c r="B101" i="37"/>
  <c r="L100" i="37"/>
  <c r="M100" i="37" s="1"/>
  <c r="I100" i="37"/>
  <c r="N100" i="37" s="1"/>
  <c r="O100" i="37" s="1"/>
  <c r="B102" i="31"/>
  <c r="B102" i="35"/>
  <c r="B106" i="28"/>
  <c r="B105" i="26"/>
  <c r="I101" i="20"/>
  <c r="H101" i="20"/>
  <c r="B106" i="27"/>
  <c r="J107" i="19"/>
  <c r="B102" i="38"/>
  <c r="B106" i="21"/>
  <c r="B102" i="34"/>
  <c r="B106" i="24"/>
  <c r="J108" i="3"/>
  <c r="D107" i="23"/>
  <c r="E107" i="23"/>
  <c r="J104" i="22"/>
  <c r="G102" i="40" l="1"/>
  <c r="I102" i="40" s="1"/>
  <c r="D103" i="40"/>
  <c r="B103" i="40" s="1"/>
  <c r="E103" i="40"/>
  <c r="F103" i="40" s="1"/>
  <c r="H102" i="40"/>
  <c r="J101" i="41"/>
  <c r="B102" i="41"/>
  <c r="J101" i="39"/>
  <c r="E102" i="41"/>
  <c r="F102" i="39"/>
  <c r="H102" i="39"/>
  <c r="B102" i="39"/>
  <c r="O27" i="19"/>
  <c r="O27" i="18"/>
  <c r="D19" i="39"/>
  <c r="N20" i="37"/>
  <c r="O20" i="37" s="1"/>
  <c r="P100" i="37"/>
  <c r="D103" i="20"/>
  <c r="E103" i="20" s="1"/>
  <c r="B24" i="24"/>
  <c r="I23" i="24"/>
  <c r="I101" i="13"/>
  <c r="H101" i="13"/>
  <c r="E102" i="13"/>
  <c r="F102" i="13" s="1"/>
  <c r="B102" i="13"/>
  <c r="H21" i="13"/>
  <c r="N6" i="13" s="1"/>
  <c r="D22" i="13"/>
  <c r="E22" i="13" s="1"/>
  <c r="F22" i="13" s="1"/>
  <c r="G21" i="13"/>
  <c r="N5" i="13" s="1"/>
  <c r="I20" i="13"/>
  <c r="B20" i="35"/>
  <c r="B19" i="37"/>
  <c r="I25" i="19"/>
  <c r="B24" i="21"/>
  <c r="I19" i="31"/>
  <c r="I23" i="27"/>
  <c r="B22" i="25"/>
  <c r="I22" i="26"/>
  <c r="I22" i="22"/>
  <c r="B26" i="19"/>
  <c r="F22" i="20"/>
  <c r="B18" i="38"/>
  <c r="B27" i="4"/>
  <c r="B24" i="27"/>
  <c r="B26" i="18"/>
  <c r="I23" i="21"/>
  <c r="B23" i="22"/>
  <c r="I21" i="20"/>
  <c r="I26" i="4"/>
  <c r="B23" i="26"/>
  <c r="B20" i="34"/>
  <c r="B24" i="23"/>
  <c r="I17" i="38"/>
  <c r="F24" i="28"/>
  <c r="G24" i="28" s="1"/>
  <c r="I20" i="29"/>
  <c r="I19" i="34"/>
  <c r="I19" i="35"/>
  <c r="B20" i="31"/>
  <c r="I18" i="37"/>
  <c r="I21" i="25"/>
  <c r="I25" i="18"/>
  <c r="J108" i="4"/>
  <c r="J107" i="18"/>
  <c r="J101" i="35"/>
  <c r="J100" i="37"/>
  <c r="J103" i="25"/>
  <c r="J104" i="26"/>
  <c r="J105" i="28"/>
  <c r="B105" i="25"/>
  <c r="J105" i="27"/>
  <c r="J105" i="21"/>
  <c r="J102" i="29"/>
  <c r="D107" i="27"/>
  <c r="E107" i="27"/>
  <c r="J101" i="20"/>
  <c r="J105" i="24"/>
  <c r="J101" i="38"/>
  <c r="D103" i="38"/>
  <c r="J101" i="34"/>
  <c r="B109" i="19"/>
  <c r="B110" i="3"/>
  <c r="B106" i="22"/>
  <c r="H102" i="20"/>
  <c r="I102" i="20"/>
  <c r="F107" i="23"/>
  <c r="N7" i="13" l="1"/>
  <c r="F102" i="41"/>
  <c r="D104" i="40"/>
  <c r="B104" i="40" s="1"/>
  <c r="G103" i="40"/>
  <c r="G102" i="39"/>
  <c r="I102" i="39" s="1"/>
  <c r="J102" i="39" s="1"/>
  <c r="D103" i="39"/>
  <c r="E103" i="39"/>
  <c r="J102" i="40"/>
  <c r="B19" i="39"/>
  <c r="I18" i="39"/>
  <c r="B103" i="20"/>
  <c r="F103" i="20"/>
  <c r="D104" i="20" s="1"/>
  <c r="I24" i="24"/>
  <c r="B22" i="13"/>
  <c r="I21" i="13"/>
  <c r="H24" i="28"/>
  <c r="I24" i="28" s="1"/>
  <c r="B25" i="24"/>
  <c r="J104" i="25"/>
  <c r="G102" i="13"/>
  <c r="D103" i="13"/>
  <c r="B103" i="13" s="1"/>
  <c r="J101" i="13"/>
  <c r="I20" i="34"/>
  <c r="I23" i="22"/>
  <c r="I20" i="31"/>
  <c r="I24" i="21"/>
  <c r="I27" i="4"/>
  <c r="I26" i="18"/>
  <c r="I19" i="37"/>
  <c r="I26" i="19"/>
  <c r="I20" i="35"/>
  <c r="D23" i="13"/>
  <c r="E23" i="13" s="1"/>
  <c r="G22" i="13"/>
  <c r="H22" i="13"/>
  <c r="D25" i="23"/>
  <c r="I27" i="3"/>
  <c r="G22" i="20"/>
  <c r="H22" i="20"/>
  <c r="E23" i="20"/>
  <c r="B23" i="20"/>
  <c r="B28" i="3"/>
  <c r="I21" i="29"/>
  <c r="B110" i="4"/>
  <c r="B109" i="18"/>
  <c r="D105" i="29"/>
  <c r="B103" i="35"/>
  <c r="B107" i="28"/>
  <c r="D106" i="25"/>
  <c r="E106" i="25"/>
  <c r="P101" i="37"/>
  <c r="B106" i="26"/>
  <c r="B102" i="37"/>
  <c r="B103" i="31"/>
  <c r="B103" i="34"/>
  <c r="F107" i="27"/>
  <c r="B107" i="27"/>
  <c r="B103" i="38"/>
  <c r="B107" i="21"/>
  <c r="B107" i="24"/>
  <c r="D110" i="19"/>
  <c r="E110" i="19"/>
  <c r="E103" i="38"/>
  <c r="F103" i="38" s="1"/>
  <c r="J108" i="19"/>
  <c r="J105" i="22"/>
  <c r="J109" i="3"/>
  <c r="J102" i="20"/>
  <c r="J106" i="23"/>
  <c r="D107" i="22"/>
  <c r="E107" i="22"/>
  <c r="G107" i="23"/>
  <c r="D108" i="23"/>
  <c r="E108" i="23"/>
  <c r="D111" i="3"/>
  <c r="E111" i="3"/>
  <c r="I103" i="40" l="1"/>
  <c r="H103" i="40"/>
  <c r="F103" i="39"/>
  <c r="B103" i="39"/>
  <c r="E104" i="40"/>
  <c r="F104" i="40" s="1"/>
  <c r="G102" i="41"/>
  <c r="I102" i="41" s="1"/>
  <c r="D103" i="41"/>
  <c r="B103" i="41" s="1"/>
  <c r="H102" i="41"/>
  <c r="I24" i="23"/>
  <c r="G103" i="20"/>
  <c r="H103" i="20" s="1"/>
  <c r="I18" i="38"/>
  <c r="E103" i="13"/>
  <c r="F103" i="13" s="1"/>
  <c r="D104" i="13" s="1"/>
  <c r="D26" i="24"/>
  <c r="J101" i="37"/>
  <c r="H102" i="13"/>
  <c r="I102" i="13"/>
  <c r="I23" i="26"/>
  <c r="B21" i="34"/>
  <c r="B20" i="37"/>
  <c r="B27" i="18"/>
  <c r="J108" i="18"/>
  <c r="B27" i="19"/>
  <c r="F23" i="20"/>
  <c r="B24" i="26"/>
  <c r="J109" i="4"/>
  <c r="B25" i="21"/>
  <c r="I22" i="20"/>
  <c r="I22" i="13"/>
  <c r="B24" i="22"/>
  <c r="B28" i="4"/>
  <c r="B25" i="23"/>
  <c r="I24" i="27"/>
  <c r="B19" i="38"/>
  <c r="I22" i="25"/>
  <c r="D29" i="3"/>
  <c r="B23" i="25"/>
  <c r="B25" i="27"/>
  <c r="B21" i="31"/>
  <c r="F23" i="13"/>
  <c r="H23" i="13" s="1"/>
  <c r="B23" i="13"/>
  <c r="B25" i="28"/>
  <c r="B21" i="35"/>
  <c r="E111" i="4"/>
  <c r="D111" i="4"/>
  <c r="E110" i="18"/>
  <c r="D110" i="18"/>
  <c r="D104" i="31"/>
  <c r="E104" i="31"/>
  <c r="J102" i="31"/>
  <c r="J105" i="26"/>
  <c r="E105" i="29"/>
  <c r="F105" i="29" s="1"/>
  <c r="E107" i="26"/>
  <c r="D107" i="26"/>
  <c r="B106" i="25"/>
  <c r="F106" i="25"/>
  <c r="D104" i="35"/>
  <c r="E104" i="35"/>
  <c r="J106" i="28"/>
  <c r="J102" i="35"/>
  <c r="D108" i="21"/>
  <c r="E108" i="21"/>
  <c r="J102" i="38"/>
  <c r="J106" i="27"/>
  <c r="F108" i="23"/>
  <c r="G108" i="23" s="1"/>
  <c r="J106" i="24"/>
  <c r="J102" i="34"/>
  <c r="B110" i="19"/>
  <c r="F110" i="19"/>
  <c r="D108" i="24"/>
  <c r="E108" i="24"/>
  <c r="J106" i="21"/>
  <c r="D104" i="38"/>
  <c r="E104" i="38" s="1"/>
  <c r="G103" i="38"/>
  <c r="G107" i="27"/>
  <c r="D108" i="27"/>
  <c r="E108" i="27"/>
  <c r="J103" i="29"/>
  <c r="B104" i="20"/>
  <c r="E104" i="20"/>
  <c r="F104" i="20" s="1"/>
  <c r="B111" i="3"/>
  <c r="F111" i="3"/>
  <c r="F107" i="22"/>
  <c r="B107" i="22"/>
  <c r="I107" i="23"/>
  <c r="H107" i="23"/>
  <c r="E103" i="41" l="1"/>
  <c r="F103" i="41" s="1"/>
  <c r="G103" i="39"/>
  <c r="I103" i="39" s="1"/>
  <c r="D104" i="39"/>
  <c r="E104" i="39"/>
  <c r="J102" i="41"/>
  <c r="G104" i="40"/>
  <c r="D105" i="40"/>
  <c r="E105" i="40" s="1"/>
  <c r="J103" i="40"/>
  <c r="H103" i="39"/>
  <c r="G103" i="13"/>
  <c r="H103" i="13" s="1"/>
  <c r="I103" i="20"/>
  <c r="J103" i="20" s="1"/>
  <c r="I25" i="24"/>
  <c r="B26" i="24"/>
  <c r="B104" i="13"/>
  <c r="I103" i="13"/>
  <c r="J102" i="13"/>
  <c r="E104" i="13"/>
  <c r="F104" i="13" s="1"/>
  <c r="E109" i="23"/>
  <c r="I19" i="38"/>
  <c r="D109" i="23"/>
  <c r="H23" i="20"/>
  <c r="G23" i="20"/>
  <c r="E24" i="20"/>
  <c r="B24" i="20"/>
  <c r="D22" i="35"/>
  <c r="D23" i="29"/>
  <c r="G23" i="13"/>
  <c r="I23" i="13" s="1"/>
  <c r="B29" i="3"/>
  <c r="D29" i="4"/>
  <c r="D26" i="27"/>
  <c r="D25" i="22"/>
  <c r="D28" i="19"/>
  <c r="D28" i="18"/>
  <c r="D21" i="37"/>
  <c r="D25" i="26"/>
  <c r="D22" i="34"/>
  <c r="D24" i="13"/>
  <c r="E24" i="13" s="1"/>
  <c r="D26" i="21"/>
  <c r="D22" i="31"/>
  <c r="I28" i="3"/>
  <c r="D24" i="25"/>
  <c r="F111" i="4"/>
  <c r="B111" i="4"/>
  <c r="F110" i="18"/>
  <c r="B110" i="18"/>
  <c r="G106" i="25"/>
  <c r="D107" i="25"/>
  <c r="E107" i="25"/>
  <c r="B108" i="28"/>
  <c r="B104" i="31"/>
  <c r="F104" i="31"/>
  <c r="B107" i="26"/>
  <c r="F107" i="26"/>
  <c r="B104" i="35"/>
  <c r="F104" i="35"/>
  <c r="B103" i="37"/>
  <c r="J105" i="25"/>
  <c r="B104" i="34"/>
  <c r="F108" i="27"/>
  <c r="B108" i="27"/>
  <c r="G105" i="29"/>
  <c r="D106" i="29"/>
  <c r="E106" i="29"/>
  <c r="H107" i="27"/>
  <c r="I107" i="27"/>
  <c r="H103" i="38"/>
  <c r="I103" i="38"/>
  <c r="B108" i="24"/>
  <c r="F108" i="24"/>
  <c r="J109" i="19"/>
  <c r="F104" i="38"/>
  <c r="B104" i="38"/>
  <c r="D111" i="19"/>
  <c r="G110" i="19"/>
  <c r="E111" i="19"/>
  <c r="J104" i="29"/>
  <c r="B108" i="21"/>
  <c r="F108" i="21"/>
  <c r="D105" i="20"/>
  <c r="G104" i="20"/>
  <c r="H108" i="23"/>
  <c r="I108" i="23"/>
  <c r="J106" i="22"/>
  <c r="J110" i="3"/>
  <c r="J107" i="23"/>
  <c r="D108" i="22"/>
  <c r="G107" i="22"/>
  <c r="E108" i="22"/>
  <c r="D112" i="3"/>
  <c r="E112" i="3"/>
  <c r="G111" i="3"/>
  <c r="F104" i="39" l="1"/>
  <c r="D105" i="39" s="1"/>
  <c r="B105" i="40"/>
  <c r="F105" i="40"/>
  <c r="H104" i="40"/>
  <c r="I104" i="40"/>
  <c r="E105" i="39"/>
  <c r="J103" i="39"/>
  <c r="G103" i="41"/>
  <c r="D104" i="41"/>
  <c r="B104" i="41" s="1"/>
  <c r="H104" i="39"/>
  <c r="B104" i="39"/>
  <c r="I25" i="27"/>
  <c r="I24" i="22"/>
  <c r="I24" i="26"/>
  <c r="I28" i="4"/>
  <c r="I23" i="25"/>
  <c r="I21" i="34"/>
  <c r="I22" i="29"/>
  <c r="I21" i="31"/>
  <c r="I21" i="35"/>
  <c r="F109" i="23"/>
  <c r="E110" i="23" s="1"/>
  <c r="G104" i="13"/>
  <c r="D105" i="13"/>
  <c r="J103" i="13"/>
  <c r="B22" i="31"/>
  <c r="I27" i="18"/>
  <c r="B28" i="18"/>
  <c r="F24" i="20"/>
  <c r="B26" i="27"/>
  <c r="B25" i="26"/>
  <c r="B28" i="19"/>
  <c r="I23" i="20"/>
  <c r="B22" i="34"/>
  <c r="I20" i="37"/>
  <c r="B24" i="25"/>
  <c r="B26" i="21"/>
  <c r="B20" i="38"/>
  <c r="I27" i="19"/>
  <c r="F24" i="13"/>
  <c r="H24" i="13" s="1"/>
  <c r="B24" i="13"/>
  <c r="B29" i="4"/>
  <c r="I25" i="21"/>
  <c r="B21" i="37"/>
  <c r="B25" i="22"/>
  <c r="B22" i="35"/>
  <c r="J108" i="23"/>
  <c r="J107" i="28"/>
  <c r="D111" i="18"/>
  <c r="E111" i="18"/>
  <c r="G110" i="18"/>
  <c r="E112" i="4"/>
  <c r="D112" i="4"/>
  <c r="G111" i="4"/>
  <c r="J110" i="4"/>
  <c r="J109" i="18"/>
  <c r="E105" i="35"/>
  <c r="D105" i="35"/>
  <c r="G104" i="35"/>
  <c r="H106" i="25"/>
  <c r="I106" i="25"/>
  <c r="J102" i="37"/>
  <c r="J103" i="31"/>
  <c r="E105" i="31"/>
  <c r="D105" i="31"/>
  <c r="G104" i="31"/>
  <c r="J106" i="26"/>
  <c r="J103" i="35"/>
  <c r="D104" i="37"/>
  <c r="E104" i="37"/>
  <c r="E108" i="26"/>
  <c r="G107" i="26"/>
  <c r="D108" i="26"/>
  <c r="B107" i="25"/>
  <c r="F107" i="25"/>
  <c r="F106" i="29"/>
  <c r="E107" i="29" s="1"/>
  <c r="D109" i="21"/>
  <c r="G108" i="21"/>
  <c r="E109" i="21"/>
  <c r="D105" i="38"/>
  <c r="E105" i="38" s="1"/>
  <c r="G104" i="38"/>
  <c r="D105" i="34"/>
  <c r="E105" i="34"/>
  <c r="J107" i="27"/>
  <c r="D109" i="24"/>
  <c r="G108" i="24"/>
  <c r="E109" i="24"/>
  <c r="J103" i="34"/>
  <c r="J103" i="38"/>
  <c r="I105" i="29"/>
  <c r="H105" i="29"/>
  <c r="G108" i="27"/>
  <c r="D109" i="27"/>
  <c r="E109" i="27"/>
  <c r="B111" i="19"/>
  <c r="F111" i="19"/>
  <c r="I110" i="19"/>
  <c r="H110" i="19"/>
  <c r="J107" i="24"/>
  <c r="J107" i="21"/>
  <c r="B108" i="22"/>
  <c r="F108" i="22"/>
  <c r="H104" i="20"/>
  <c r="I104" i="20"/>
  <c r="H111" i="3"/>
  <c r="I111" i="3"/>
  <c r="F112" i="3"/>
  <c r="B112" i="3"/>
  <c r="B105" i="20"/>
  <c r="I107" i="22"/>
  <c r="H107" i="22"/>
  <c r="E105" i="20"/>
  <c r="F105" i="20" s="1"/>
  <c r="G104" i="39" l="1"/>
  <c r="I104" i="39" s="1"/>
  <c r="J104" i="40"/>
  <c r="E104" i="41"/>
  <c r="F104" i="41" s="1"/>
  <c r="F105" i="39"/>
  <c r="D106" i="39" s="1"/>
  <c r="J104" i="39"/>
  <c r="H103" i="41"/>
  <c r="I103" i="41"/>
  <c r="G105" i="40"/>
  <c r="D106" i="40"/>
  <c r="B106" i="40" s="1"/>
  <c r="B105" i="39"/>
  <c r="D110" i="23"/>
  <c r="F110" i="23" s="1"/>
  <c r="D111" i="23" s="1"/>
  <c r="G109" i="23"/>
  <c r="I109" i="23" s="1"/>
  <c r="J106" i="25"/>
  <c r="E105" i="13"/>
  <c r="F105" i="13" s="1"/>
  <c r="B105" i="13"/>
  <c r="I104" i="13"/>
  <c r="H104" i="13"/>
  <c r="G24" i="13"/>
  <c r="I24" i="13" s="1"/>
  <c r="H24" i="20"/>
  <c r="B25" i="20"/>
  <c r="E25" i="20"/>
  <c r="F25" i="20" s="1"/>
  <c r="G24" i="20"/>
  <c r="D25" i="13"/>
  <c r="D21" i="38"/>
  <c r="H110" i="18"/>
  <c r="I110" i="18"/>
  <c r="F112" i="4"/>
  <c r="B112" i="4"/>
  <c r="H111" i="4"/>
  <c r="I111" i="4"/>
  <c r="B111" i="18"/>
  <c r="F111" i="18"/>
  <c r="G107" i="25"/>
  <c r="D108" i="25"/>
  <c r="E108" i="25"/>
  <c r="F108" i="26"/>
  <c r="B108" i="26"/>
  <c r="B109" i="28"/>
  <c r="I107" i="26"/>
  <c r="H107" i="26"/>
  <c r="H104" i="35"/>
  <c r="I104" i="35"/>
  <c r="B104" i="37"/>
  <c r="F104" i="37"/>
  <c r="I104" i="31"/>
  <c r="H104" i="31"/>
  <c r="B105" i="35"/>
  <c r="F105" i="35"/>
  <c r="I103" i="37"/>
  <c r="F105" i="31"/>
  <c r="B105" i="31"/>
  <c r="G106" i="29"/>
  <c r="I106" i="29" s="1"/>
  <c r="D107" i="29"/>
  <c r="F107" i="29" s="1"/>
  <c r="E108" i="29" s="1"/>
  <c r="F109" i="24"/>
  <c r="B109" i="24"/>
  <c r="B105" i="38"/>
  <c r="F105" i="38"/>
  <c r="I104" i="34"/>
  <c r="J110" i="19"/>
  <c r="H108" i="24"/>
  <c r="I108" i="24"/>
  <c r="D112" i="19"/>
  <c r="G111" i="19"/>
  <c r="E112" i="19"/>
  <c r="F109" i="27"/>
  <c r="B109" i="27"/>
  <c r="I108" i="21"/>
  <c r="H108" i="21"/>
  <c r="H104" i="38"/>
  <c r="I104" i="38"/>
  <c r="H108" i="27"/>
  <c r="I108" i="27"/>
  <c r="F109" i="21"/>
  <c r="B109" i="21"/>
  <c r="J105" i="29"/>
  <c r="B105" i="34"/>
  <c r="F105" i="34"/>
  <c r="G105" i="20"/>
  <c r="D106" i="20"/>
  <c r="E106" i="20" s="1"/>
  <c r="J104" i="20"/>
  <c r="D113" i="3"/>
  <c r="G112" i="3"/>
  <c r="E113" i="3"/>
  <c r="G108" i="22"/>
  <c r="D109" i="22"/>
  <c r="E109" i="22"/>
  <c r="J107" i="22"/>
  <c r="J111" i="3"/>
  <c r="E106" i="39" l="1"/>
  <c r="H105" i="39"/>
  <c r="G105" i="39"/>
  <c r="I105" i="39" s="1"/>
  <c r="E106" i="40"/>
  <c r="F106" i="40" s="1"/>
  <c r="G106" i="40" s="1"/>
  <c r="I105" i="40"/>
  <c r="H105" i="40"/>
  <c r="G104" i="41"/>
  <c r="D105" i="41"/>
  <c r="J103" i="41"/>
  <c r="F106" i="39"/>
  <c r="H106" i="39" s="1"/>
  <c r="B106" i="39"/>
  <c r="H109" i="23"/>
  <c r="J109" i="23" s="1"/>
  <c r="G110" i="23"/>
  <c r="H110" i="23" s="1"/>
  <c r="E111" i="23"/>
  <c r="F111" i="23" s="1"/>
  <c r="D112" i="23" s="1"/>
  <c r="H106" i="29"/>
  <c r="J106" i="29" s="1"/>
  <c r="J104" i="31"/>
  <c r="G107" i="29"/>
  <c r="H107" i="29" s="1"/>
  <c r="J104" i="13"/>
  <c r="D106" i="13"/>
  <c r="G105" i="13"/>
  <c r="J110" i="18"/>
  <c r="J111" i="4"/>
  <c r="B21" i="38"/>
  <c r="B25" i="13"/>
  <c r="E25" i="13"/>
  <c r="F25" i="13" s="1"/>
  <c r="I20" i="38"/>
  <c r="G25" i="20"/>
  <c r="B26" i="20"/>
  <c r="H25" i="20"/>
  <c r="E26" i="20"/>
  <c r="F26" i="20" s="1"/>
  <c r="D108" i="29"/>
  <c r="F108" i="29" s="1"/>
  <c r="I24" i="20"/>
  <c r="J108" i="28"/>
  <c r="J104" i="35"/>
  <c r="D112" i="18"/>
  <c r="E112" i="18"/>
  <c r="G111" i="18"/>
  <c r="E113" i="4"/>
  <c r="D113" i="4"/>
  <c r="G112" i="4"/>
  <c r="D105" i="37"/>
  <c r="E105" i="37"/>
  <c r="G104" i="37"/>
  <c r="G105" i="31"/>
  <c r="D106" i="31"/>
  <c r="E106" i="31"/>
  <c r="J103" i="37"/>
  <c r="E109" i="26"/>
  <c r="G108" i="26"/>
  <c r="D109" i="26"/>
  <c r="G105" i="35"/>
  <c r="E106" i="35"/>
  <c r="D106" i="35"/>
  <c r="J107" i="26"/>
  <c r="B108" i="25"/>
  <c r="F108" i="25"/>
  <c r="H107" i="25"/>
  <c r="I107" i="25"/>
  <c r="J108" i="27"/>
  <c r="G109" i="24"/>
  <c r="D110" i="24"/>
  <c r="E110" i="24"/>
  <c r="I111" i="19"/>
  <c r="H111" i="19"/>
  <c r="D106" i="38"/>
  <c r="G105" i="38"/>
  <c r="B112" i="19"/>
  <c r="F112" i="19"/>
  <c r="D106" i="34"/>
  <c r="G105" i="34"/>
  <c r="E106" i="34"/>
  <c r="G109" i="21"/>
  <c r="D110" i="21"/>
  <c r="E110" i="21"/>
  <c r="J108" i="21"/>
  <c r="J104" i="34"/>
  <c r="J104" i="38"/>
  <c r="G109" i="27"/>
  <c r="D110" i="27"/>
  <c r="E110" i="27"/>
  <c r="J108" i="24"/>
  <c r="H108" i="22"/>
  <c r="I108" i="22"/>
  <c r="I112" i="3"/>
  <c r="H112" i="3"/>
  <c r="F109" i="22"/>
  <c r="B109" i="22"/>
  <c r="F113" i="3"/>
  <c r="B113" i="3"/>
  <c r="F106" i="20"/>
  <c r="B106" i="20"/>
  <c r="I105" i="20"/>
  <c r="H105" i="20"/>
  <c r="D107" i="40" l="1"/>
  <c r="B107" i="40" s="1"/>
  <c r="J105" i="39"/>
  <c r="E107" i="40"/>
  <c r="F107" i="40" s="1"/>
  <c r="H106" i="40"/>
  <c r="I106" i="40"/>
  <c r="B105" i="41"/>
  <c r="G107" i="40"/>
  <c r="D108" i="40"/>
  <c r="I104" i="41"/>
  <c r="H104" i="41"/>
  <c r="G106" i="39"/>
  <c r="I106" i="39" s="1"/>
  <c r="J106" i="39" s="1"/>
  <c r="D107" i="39"/>
  <c r="E107" i="39"/>
  <c r="E105" i="41"/>
  <c r="F105" i="41" s="1"/>
  <c r="J105" i="40"/>
  <c r="I110" i="23"/>
  <c r="J110" i="23" s="1"/>
  <c r="G111" i="23"/>
  <c r="H111" i="23" s="1"/>
  <c r="E112" i="23"/>
  <c r="F112" i="23" s="1"/>
  <c r="G112" i="23" s="1"/>
  <c r="I107" i="29"/>
  <c r="J107" i="29" s="1"/>
  <c r="J107" i="25"/>
  <c r="I105" i="13"/>
  <c r="H105" i="13"/>
  <c r="E106" i="13"/>
  <c r="F106" i="13" s="1"/>
  <c r="B106" i="13"/>
  <c r="E109" i="29"/>
  <c r="G108" i="29"/>
  <c r="H108" i="29" s="1"/>
  <c r="D109" i="29"/>
  <c r="I25" i="20"/>
  <c r="D26" i="13"/>
  <c r="E26" i="13" s="1"/>
  <c r="E27" i="20"/>
  <c r="F27" i="20" s="1"/>
  <c r="H26" i="20"/>
  <c r="G26" i="20"/>
  <c r="B27" i="20"/>
  <c r="H25" i="13"/>
  <c r="G25" i="13"/>
  <c r="F113" i="4"/>
  <c r="B113" i="4"/>
  <c r="H111" i="18"/>
  <c r="I111" i="18"/>
  <c r="I112" i="4"/>
  <c r="H112" i="4"/>
  <c r="B112" i="18"/>
  <c r="F112" i="18"/>
  <c r="G108" i="25"/>
  <c r="E109" i="25"/>
  <c r="D109" i="25"/>
  <c r="F106" i="35"/>
  <c r="B106" i="35"/>
  <c r="B106" i="31"/>
  <c r="F106" i="31"/>
  <c r="I105" i="31"/>
  <c r="H105" i="31"/>
  <c r="I105" i="35"/>
  <c r="H105" i="35"/>
  <c r="H104" i="37"/>
  <c r="I104" i="37"/>
  <c r="F109" i="26"/>
  <c r="B109" i="26"/>
  <c r="B110" i="28"/>
  <c r="I108" i="26"/>
  <c r="H108" i="26"/>
  <c r="F105" i="37"/>
  <c r="B105" i="37"/>
  <c r="B110" i="27"/>
  <c r="F110" i="27"/>
  <c r="G112" i="19"/>
  <c r="D113" i="19"/>
  <c r="E113" i="19"/>
  <c r="I109" i="27"/>
  <c r="H109" i="27"/>
  <c r="J111" i="19"/>
  <c r="H109" i="21"/>
  <c r="I109" i="21"/>
  <c r="H105" i="38"/>
  <c r="I105" i="38"/>
  <c r="H105" i="34"/>
  <c r="I105" i="34"/>
  <c r="B106" i="38"/>
  <c r="F110" i="24"/>
  <c r="B110" i="24"/>
  <c r="F110" i="21"/>
  <c r="B110" i="21"/>
  <c r="B106" i="34"/>
  <c r="F106" i="34"/>
  <c r="E106" i="38"/>
  <c r="F106" i="38" s="1"/>
  <c r="I109" i="24"/>
  <c r="H109" i="24"/>
  <c r="J112" i="3"/>
  <c r="G109" i="22"/>
  <c r="D110" i="22"/>
  <c r="E110" i="22"/>
  <c r="J108" i="22"/>
  <c r="G106" i="20"/>
  <c r="D107" i="20"/>
  <c r="E107" i="20" s="1"/>
  <c r="E114" i="3"/>
  <c r="G113" i="3"/>
  <c r="D114" i="3"/>
  <c r="J105" i="20"/>
  <c r="J106" i="40" l="1"/>
  <c r="F107" i="39"/>
  <c r="G107" i="39" s="1"/>
  <c r="I107" i="39" s="1"/>
  <c r="B107" i="39"/>
  <c r="D106" i="41"/>
  <c r="B106" i="41" s="1"/>
  <c r="G105" i="41"/>
  <c r="E108" i="40"/>
  <c r="F108" i="40" s="1"/>
  <c r="B108" i="40"/>
  <c r="J104" i="41"/>
  <c r="I107" i="40"/>
  <c r="H107" i="40"/>
  <c r="I111" i="23"/>
  <c r="J111" i="23" s="1"/>
  <c r="E113" i="23"/>
  <c r="D113" i="23"/>
  <c r="H112" i="23"/>
  <c r="I112" i="23"/>
  <c r="I108" i="29"/>
  <c r="J108" i="29" s="1"/>
  <c r="F109" i="29"/>
  <c r="E110" i="29" s="1"/>
  <c r="J105" i="31"/>
  <c r="G106" i="13"/>
  <c r="D107" i="13"/>
  <c r="J105" i="13"/>
  <c r="I26" i="20"/>
  <c r="B26" i="13"/>
  <c r="F26" i="13"/>
  <c r="G26" i="13" s="1"/>
  <c r="J111" i="18"/>
  <c r="I25" i="13"/>
  <c r="B28" i="20"/>
  <c r="E28" i="20"/>
  <c r="F28" i="20" s="1"/>
  <c r="G27" i="20"/>
  <c r="N5" i="20" s="1"/>
  <c r="H27" i="20"/>
  <c r="N6" i="20" s="1"/>
  <c r="J104" i="37"/>
  <c r="J112" i="4"/>
  <c r="G112" i="18"/>
  <c r="E113" i="18"/>
  <c r="D113" i="18"/>
  <c r="D114" i="4"/>
  <c r="G113" i="4"/>
  <c r="E114" i="4"/>
  <c r="E110" i="26"/>
  <c r="D110" i="26"/>
  <c r="G109" i="26"/>
  <c r="E107" i="31"/>
  <c r="D107" i="31"/>
  <c r="G106" i="31"/>
  <c r="E106" i="37"/>
  <c r="D106" i="37"/>
  <c r="G105" i="37"/>
  <c r="J108" i="26"/>
  <c r="J105" i="35"/>
  <c r="G106" i="35"/>
  <c r="D107" i="35"/>
  <c r="E107" i="35"/>
  <c r="F109" i="25"/>
  <c r="B109" i="25"/>
  <c r="J109" i="28"/>
  <c r="H108" i="25"/>
  <c r="I108" i="25"/>
  <c r="D107" i="38"/>
  <c r="E107" i="38" s="1"/>
  <c r="G106" i="38"/>
  <c r="J105" i="38"/>
  <c r="J109" i="21"/>
  <c r="J105" i="34"/>
  <c r="D107" i="34"/>
  <c r="G106" i="34"/>
  <c r="E107" i="34"/>
  <c r="J109" i="27"/>
  <c r="F113" i="19"/>
  <c r="B113" i="19"/>
  <c r="H112" i="19"/>
  <c r="I112" i="19"/>
  <c r="J109" i="24"/>
  <c r="D111" i="24"/>
  <c r="G110" i="24"/>
  <c r="E111" i="24"/>
  <c r="D111" i="27"/>
  <c r="G110" i="27"/>
  <c r="E111" i="27"/>
  <c r="G110" i="21"/>
  <c r="D111" i="21"/>
  <c r="E111" i="21"/>
  <c r="H109" i="22"/>
  <c r="I109" i="22"/>
  <c r="I106" i="20"/>
  <c r="H106" i="20"/>
  <c r="B114" i="3"/>
  <c r="F114" i="3"/>
  <c r="F110" i="22"/>
  <c r="B110" i="22"/>
  <c r="F107" i="20"/>
  <c r="B107" i="20"/>
  <c r="H113" i="3"/>
  <c r="I113" i="3"/>
  <c r="E22" i="17"/>
  <c r="H107" i="39" l="1"/>
  <c r="E108" i="39"/>
  <c r="N7" i="20"/>
  <c r="D108" i="39"/>
  <c r="B108" i="39" s="1"/>
  <c r="J107" i="39"/>
  <c r="J107" i="40"/>
  <c r="H105" i="41"/>
  <c r="I105" i="41"/>
  <c r="D109" i="40"/>
  <c r="E109" i="40" s="1"/>
  <c r="G108" i="40"/>
  <c r="I108" i="40" s="1"/>
  <c r="H108" i="40"/>
  <c r="E106" i="41"/>
  <c r="F106" i="41" s="1"/>
  <c r="F113" i="23"/>
  <c r="D114" i="23" s="1"/>
  <c r="J112" i="23"/>
  <c r="G109" i="29"/>
  <c r="D110" i="29"/>
  <c r="F110" i="29" s="1"/>
  <c r="G110" i="29" s="1"/>
  <c r="H110" i="29" s="1"/>
  <c r="J113" i="3"/>
  <c r="E107" i="13"/>
  <c r="F107" i="13" s="1"/>
  <c r="B107" i="13"/>
  <c r="I106" i="13"/>
  <c r="H106" i="13"/>
  <c r="I27" i="20"/>
  <c r="H26" i="13"/>
  <c r="I26" i="13" s="1"/>
  <c r="D27" i="13"/>
  <c r="E27" i="13" s="1"/>
  <c r="E29" i="20"/>
  <c r="F29" i="20" s="1"/>
  <c r="H28" i="20"/>
  <c r="G28" i="20"/>
  <c r="B29" i="20"/>
  <c r="I113" i="4"/>
  <c r="H113" i="4"/>
  <c r="B113" i="18"/>
  <c r="F113" i="18"/>
  <c r="I112" i="18"/>
  <c r="H112" i="18"/>
  <c r="B114" i="4"/>
  <c r="F114" i="4"/>
  <c r="B106" i="37"/>
  <c r="F106" i="37"/>
  <c r="D110" i="25"/>
  <c r="G109" i="25"/>
  <c r="E110" i="25"/>
  <c r="J108" i="25"/>
  <c r="H106" i="31"/>
  <c r="I106" i="31"/>
  <c r="F107" i="35"/>
  <c r="B107" i="35"/>
  <c r="B107" i="31"/>
  <c r="F107" i="31"/>
  <c r="H106" i="35"/>
  <c r="I106" i="35"/>
  <c r="I109" i="26"/>
  <c r="H109" i="26"/>
  <c r="B111" i="28"/>
  <c r="F110" i="26"/>
  <c r="B110" i="26"/>
  <c r="H105" i="37"/>
  <c r="I105" i="37"/>
  <c r="H110" i="27"/>
  <c r="I110" i="27"/>
  <c r="B111" i="24"/>
  <c r="F111" i="24"/>
  <c r="I106" i="34"/>
  <c r="H106" i="34"/>
  <c r="B111" i="27"/>
  <c r="F111" i="27"/>
  <c r="B107" i="34"/>
  <c r="F107" i="34"/>
  <c r="J112" i="19"/>
  <c r="D114" i="19"/>
  <c r="G113" i="19"/>
  <c r="E114" i="19"/>
  <c r="J109" i="22"/>
  <c r="H106" i="38"/>
  <c r="I106" i="38"/>
  <c r="B111" i="21"/>
  <c r="F111" i="21"/>
  <c r="H110" i="24"/>
  <c r="I110" i="24"/>
  <c r="H110" i="21"/>
  <c r="I110" i="21"/>
  <c r="B107" i="38"/>
  <c r="F107" i="38"/>
  <c r="G110" i="22"/>
  <c r="D111" i="22"/>
  <c r="E111" i="22"/>
  <c r="E115" i="3"/>
  <c r="G114" i="3"/>
  <c r="D115" i="3"/>
  <c r="G107" i="20"/>
  <c r="D108" i="20"/>
  <c r="E108" i="20" s="1"/>
  <c r="J106" i="20"/>
  <c r="F22" i="17"/>
  <c r="F108" i="39" l="1"/>
  <c r="G108" i="39" s="1"/>
  <c r="I108" i="39" s="1"/>
  <c r="G22" i="17"/>
  <c r="H108" i="39"/>
  <c r="J108" i="39" s="1"/>
  <c r="E109" i="39"/>
  <c r="D109" i="39"/>
  <c r="F109" i="40"/>
  <c r="H109" i="40" s="1"/>
  <c r="B109" i="40"/>
  <c r="D107" i="41"/>
  <c r="B107" i="41" s="1"/>
  <c r="G106" i="41"/>
  <c r="J108" i="40"/>
  <c r="J105" i="41"/>
  <c r="E114" i="23"/>
  <c r="F114" i="23" s="1"/>
  <c r="E115" i="23" s="1"/>
  <c r="G113" i="23"/>
  <c r="H113" i="23" s="1"/>
  <c r="E111" i="29"/>
  <c r="D111" i="29"/>
  <c r="I110" i="29"/>
  <c r="J110" i="29" s="1"/>
  <c r="I109" i="29"/>
  <c r="H109" i="29"/>
  <c r="J106" i="13"/>
  <c r="J110" i="28"/>
  <c r="J106" i="35"/>
  <c r="D108" i="13"/>
  <c r="G107" i="13"/>
  <c r="I28" i="20"/>
  <c r="B27" i="13"/>
  <c r="F27" i="13"/>
  <c r="H27" i="13" s="1"/>
  <c r="G29" i="20"/>
  <c r="H29" i="20"/>
  <c r="B30" i="20"/>
  <c r="E30" i="20"/>
  <c r="F30" i="20" s="1"/>
  <c r="D115" i="4"/>
  <c r="E115" i="4"/>
  <c r="G114" i="4"/>
  <c r="J112" i="18"/>
  <c r="G113" i="18"/>
  <c r="D114" i="18"/>
  <c r="E114" i="18"/>
  <c r="J109" i="26"/>
  <c r="J113" i="4"/>
  <c r="J106" i="38"/>
  <c r="J105" i="37"/>
  <c r="J106" i="31"/>
  <c r="E108" i="31"/>
  <c r="G107" i="31"/>
  <c r="D108" i="31"/>
  <c r="I109" i="25"/>
  <c r="H109" i="25"/>
  <c r="F110" i="25"/>
  <c r="B110" i="25"/>
  <c r="D111" i="26"/>
  <c r="G110" i="26"/>
  <c r="E111" i="26"/>
  <c r="G106" i="37"/>
  <c r="E107" i="37"/>
  <c r="D107" i="37"/>
  <c r="J110" i="24"/>
  <c r="G107" i="35"/>
  <c r="D108" i="35"/>
  <c r="E108" i="35"/>
  <c r="J110" i="27"/>
  <c r="F114" i="19"/>
  <c r="B114" i="19"/>
  <c r="J106" i="34"/>
  <c r="H113" i="19"/>
  <c r="I113" i="19"/>
  <c r="D108" i="38"/>
  <c r="E108" i="38" s="1"/>
  <c r="G107" i="38"/>
  <c r="G107" i="34"/>
  <c r="D108" i="34"/>
  <c r="E108" i="34"/>
  <c r="G111" i="24"/>
  <c r="D112" i="24"/>
  <c r="E112" i="24"/>
  <c r="D112" i="27"/>
  <c r="G111" i="27"/>
  <c r="E112" i="27"/>
  <c r="D112" i="21"/>
  <c r="G111" i="21"/>
  <c r="E112" i="21"/>
  <c r="J110" i="21"/>
  <c r="I107" i="20"/>
  <c r="H107" i="20"/>
  <c r="F115" i="3"/>
  <c r="B115" i="3"/>
  <c r="H114" i="3"/>
  <c r="I114" i="3"/>
  <c r="B111" i="22"/>
  <c r="F111" i="22"/>
  <c r="B108" i="20"/>
  <c r="F108" i="20"/>
  <c r="I110" i="22"/>
  <c r="H110" i="22"/>
  <c r="F109" i="39" l="1"/>
  <c r="E110" i="39"/>
  <c r="D110" i="39"/>
  <c r="H109" i="39"/>
  <c r="G109" i="39"/>
  <c r="I109" i="39" s="1"/>
  <c r="B109" i="39"/>
  <c r="E107" i="41"/>
  <c r="F107" i="41" s="1"/>
  <c r="G107" i="41" s="1"/>
  <c r="I106" i="41"/>
  <c r="H106" i="41"/>
  <c r="D110" i="40"/>
  <c r="E110" i="40" s="1"/>
  <c r="G109" i="40"/>
  <c r="I109" i="40" s="1"/>
  <c r="J109" i="40" s="1"/>
  <c r="D115" i="23"/>
  <c r="F115" i="23" s="1"/>
  <c r="G115" i="23" s="1"/>
  <c r="I113" i="23"/>
  <c r="J113" i="23" s="1"/>
  <c r="G114" i="23"/>
  <c r="I114" i="23" s="1"/>
  <c r="F111" i="29"/>
  <c r="G111" i="29" s="1"/>
  <c r="H111" i="29" s="1"/>
  <c r="J109" i="29"/>
  <c r="I107" i="13"/>
  <c r="H107" i="13"/>
  <c r="E108" i="13"/>
  <c r="F108" i="13" s="1"/>
  <c r="B108" i="13"/>
  <c r="I29" i="20"/>
  <c r="D28" i="13"/>
  <c r="G27" i="13"/>
  <c r="I27" i="13" s="1"/>
  <c r="G30" i="20"/>
  <c r="H30" i="20"/>
  <c r="B31" i="20"/>
  <c r="E31" i="20"/>
  <c r="F31" i="20" s="1"/>
  <c r="F115" i="4"/>
  <c r="B115" i="4"/>
  <c r="F114" i="18"/>
  <c r="B114" i="18"/>
  <c r="H113" i="18"/>
  <c r="I113" i="18"/>
  <c r="I114" i="4"/>
  <c r="H114" i="4"/>
  <c r="J109" i="25"/>
  <c r="B112" i="28"/>
  <c r="B108" i="35"/>
  <c r="F108" i="35"/>
  <c r="B108" i="31"/>
  <c r="F108" i="31"/>
  <c r="H107" i="35"/>
  <c r="I107" i="35"/>
  <c r="I107" i="31"/>
  <c r="H107" i="31"/>
  <c r="H110" i="26"/>
  <c r="I110" i="26"/>
  <c r="B111" i="26"/>
  <c r="F111" i="26"/>
  <c r="B107" i="37"/>
  <c r="F107" i="37"/>
  <c r="J113" i="19"/>
  <c r="I106" i="37"/>
  <c r="H106" i="37"/>
  <c r="D111" i="25"/>
  <c r="G110" i="25"/>
  <c r="E111" i="25"/>
  <c r="I111" i="21"/>
  <c r="H111" i="21"/>
  <c r="I107" i="34"/>
  <c r="H107" i="34"/>
  <c r="F108" i="38"/>
  <c r="B108" i="38"/>
  <c r="B112" i="21"/>
  <c r="F112" i="21"/>
  <c r="H111" i="27"/>
  <c r="I111" i="27"/>
  <c r="D115" i="19"/>
  <c r="G114" i="19"/>
  <c r="E115" i="19"/>
  <c r="B112" i="27"/>
  <c r="F112" i="27"/>
  <c r="F112" i="24"/>
  <c r="B112" i="24"/>
  <c r="I111" i="24"/>
  <c r="H111" i="24"/>
  <c r="J114" i="3"/>
  <c r="B108" i="34"/>
  <c r="F108" i="34"/>
  <c r="H107" i="38"/>
  <c r="I107" i="38"/>
  <c r="G111" i="22"/>
  <c r="D112" i="22"/>
  <c r="E112" i="22"/>
  <c r="D116" i="3"/>
  <c r="G115" i="3"/>
  <c r="E116" i="3"/>
  <c r="J107" i="20"/>
  <c r="J110" i="22"/>
  <c r="G108" i="20"/>
  <c r="D109" i="20"/>
  <c r="E109" i="20" s="1"/>
  <c r="D108" i="41" l="1"/>
  <c r="E108" i="41" s="1"/>
  <c r="F108" i="41" s="1"/>
  <c r="F110" i="39"/>
  <c r="H110" i="39" s="1"/>
  <c r="J109" i="39"/>
  <c r="D116" i="23"/>
  <c r="F116" i="23" s="1"/>
  <c r="G116" i="23" s="1"/>
  <c r="B110" i="39"/>
  <c r="E116" i="23"/>
  <c r="G108" i="41"/>
  <c r="I108" i="41" s="1"/>
  <c r="D109" i="41"/>
  <c r="E109" i="41" s="1"/>
  <c r="G110" i="39"/>
  <c r="I110" i="39" s="1"/>
  <c r="D111" i="39"/>
  <c r="E111" i="39"/>
  <c r="H108" i="41"/>
  <c r="B108" i="41"/>
  <c r="F110" i="40"/>
  <c r="H110" i="40" s="1"/>
  <c r="B110" i="40"/>
  <c r="I107" i="41"/>
  <c r="H107" i="41"/>
  <c r="J106" i="41"/>
  <c r="D112" i="29"/>
  <c r="H114" i="23"/>
  <c r="J114" i="23" s="1"/>
  <c r="E112" i="29"/>
  <c r="I111" i="29"/>
  <c r="J111" i="29" s="1"/>
  <c r="D109" i="13"/>
  <c r="G108" i="13"/>
  <c r="J107" i="13"/>
  <c r="I30" i="20"/>
  <c r="J114" i="4"/>
  <c r="J111" i="21"/>
  <c r="B28" i="13"/>
  <c r="E28" i="13"/>
  <c r="F28" i="13" s="1"/>
  <c r="J110" i="26"/>
  <c r="E32" i="20"/>
  <c r="F32" i="20" s="1"/>
  <c r="E33" i="20"/>
  <c r="F33" i="20" s="1"/>
  <c r="B32" i="20"/>
  <c r="H31" i="20"/>
  <c r="G31" i="20"/>
  <c r="J113" i="18"/>
  <c r="J107" i="31"/>
  <c r="D115" i="18"/>
  <c r="E115" i="18"/>
  <c r="G114" i="18"/>
  <c r="E116" i="4"/>
  <c r="G115" i="4"/>
  <c r="D116" i="4"/>
  <c r="D112" i="26"/>
  <c r="G111" i="26"/>
  <c r="E112" i="26"/>
  <c r="G108" i="31"/>
  <c r="E109" i="31"/>
  <c r="D109" i="31"/>
  <c r="H110" i="25"/>
  <c r="I110" i="25"/>
  <c r="B111" i="25"/>
  <c r="F111" i="25"/>
  <c r="J111" i="28"/>
  <c r="J106" i="37"/>
  <c r="D109" i="35"/>
  <c r="E109" i="35"/>
  <c r="G108" i="35"/>
  <c r="G107" i="37"/>
  <c r="D108" i="37"/>
  <c r="E108" i="37"/>
  <c r="J107" i="35"/>
  <c r="J107" i="38"/>
  <c r="J111" i="27"/>
  <c r="J111" i="24"/>
  <c r="F115" i="19"/>
  <c r="B115" i="19"/>
  <c r="D109" i="34"/>
  <c r="G108" i="34"/>
  <c r="E109" i="34"/>
  <c r="D109" i="38"/>
  <c r="E109" i="38" s="1"/>
  <c r="G108" i="38"/>
  <c r="J107" i="34"/>
  <c r="G112" i="24"/>
  <c r="D113" i="24"/>
  <c r="E113" i="24"/>
  <c r="D113" i="27"/>
  <c r="G112" i="27"/>
  <c r="E113" i="27"/>
  <c r="I114" i="19"/>
  <c r="H114" i="19"/>
  <c r="G112" i="21"/>
  <c r="D113" i="21"/>
  <c r="E113" i="21"/>
  <c r="I108" i="20"/>
  <c r="H108" i="20"/>
  <c r="F109" i="20"/>
  <c r="B109" i="20"/>
  <c r="F112" i="22"/>
  <c r="B112" i="22"/>
  <c r="B116" i="3"/>
  <c r="F116" i="3"/>
  <c r="H111" i="22"/>
  <c r="I111" i="22"/>
  <c r="H115" i="23"/>
  <c r="I115" i="23"/>
  <c r="H115" i="3"/>
  <c r="I115" i="3"/>
  <c r="J110" i="39" l="1"/>
  <c r="F111" i="39"/>
  <c r="F112" i="29"/>
  <c r="G112" i="29" s="1"/>
  <c r="I112" i="29" s="1"/>
  <c r="J107" i="41"/>
  <c r="G111" i="39"/>
  <c r="I111" i="39" s="1"/>
  <c r="D112" i="39"/>
  <c r="E112" i="39"/>
  <c r="F109" i="41"/>
  <c r="H109" i="41" s="1"/>
  <c r="B109" i="41"/>
  <c r="D111" i="40"/>
  <c r="G110" i="40"/>
  <c r="I110" i="40" s="1"/>
  <c r="J110" i="40" s="1"/>
  <c r="H111" i="39"/>
  <c r="B111" i="39"/>
  <c r="J108" i="41"/>
  <c r="D113" i="29"/>
  <c r="E117" i="23"/>
  <c r="D117" i="23"/>
  <c r="H108" i="13"/>
  <c r="I108" i="13"/>
  <c r="E109" i="13"/>
  <c r="F109" i="13" s="1"/>
  <c r="B109" i="13"/>
  <c r="I31" i="20"/>
  <c r="D29" i="13"/>
  <c r="E29" i="13" s="1"/>
  <c r="H28" i="13"/>
  <c r="G28" i="13"/>
  <c r="E34" i="20"/>
  <c r="F34" i="20" s="1"/>
  <c r="B34" i="20"/>
  <c r="H33" i="20"/>
  <c r="G33" i="20"/>
  <c r="G32" i="20"/>
  <c r="H32" i="20"/>
  <c r="B33" i="20"/>
  <c r="J110" i="25"/>
  <c r="B116" i="4"/>
  <c r="F116" i="4"/>
  <c r="H115" i="4"/>
  <c r="I115" i="4"/>
  <c r="H114" i="18"/>
  <c r="I114" i="18"/>
  <c r="B115" i="18"/>
  <c r="F115" i="18"/>
  <c r="I107" i="37"/>
  <c r="H107" i="37"/>
  <c r="H108" i="35"/>
  <c r="I108" i="35"/>
  <c r="B109" i="31"/>
  <c r="F109" i="31"/>
  <c r="B113" i="28"/>
  <c r="B109" i="35"/>
  <c r="F109" i="35"/>
  <c r="H108" i="31"/>
  <c r="I108" i="31"/>
  <c r="G111" i="25"/>
  <c r="D112" i="25"/>
  <c r="E112" i="25"/>
  <c r="I111" i="26"/>
  <c r="H111" i="26"/>
  <c r="F108" i="37"/>
  <c r="B108" i="37"/>
  <c r="F112" i="26"/>
  <c r="B112" i="26"/>
  <c r="J115" i="3"/>
  <c r="J114" i="19"/>
  <c r="B113" i="24"/>
  <c r="F113" i="24"/>
  <c r="J111" i="22"/>
  <c r="H112" i="24"/>
  <c r="I112" i="24"/>
  <c r="B109" i="38"/>
  <c r="F109" i="38"/>
  <c r="D116" i="19"/>
  <c r="G115" i="19"/>
  <c r="E116" i="19"/>
  <c r="H112" i="27"/>
  <c r="I112" i="27"/>
  <c r="F113" i="27"/>
  <c r="B113" i="27"/>
  <c r="B113" i="21"/>
  <c r="F113" i="21"/>
  <c r="I108" i="34"/>
  <c r="H108" i="34"/>
  <c r="J115" i="23"/>
  <c r="H112" i="21"/>
  <c r="I112" i="21"/>
  <c r="H108" i="38"/>
  <c r="I108" i="38"/>
  <c r="B109" i="34"/>
  <c r="F109" i="34"/>
  <c r="G112" i="22"/>
  <c r="D113" i="22"/>
  <c r="E113" i="22"/>
  <c r="D117" i="3"/>
  <c r="G116" i="3"/>
  <c r="E117" i="3"/>
  <c r="G109" i="20"/>
  <c r="D110" i="20"/>
  <c r="E110" i="20" s="1"/>
  <c r="H116" i="23"/>
  <c r="I116" i="23"/>
  <c r="J108" i="20"/>
  <c r="H112" i="29" l="1"/>
  <c r="J112" i="29"/>
  <c r="E113" i="29"/>
  <c r="F112" i="39"/>
  <c r="D113" i="39" s="1"/>
  <c r="B112" i="39"/>
  <c r="G109" i="41"/>
  <c r="I109" i="41" s="1"/>
  <c r="J109" i="41" s="1"/>
  <c r="D110" i="41"/>
  <c r="E110" i="41" s="1"/>
  <c r="F110" i="41" s="1"/>
  <c r="B111" i="40"/>
  <c r="E111" i="40"/>
  <c r="F111" i="40" s="1"/>
  <c r="J111" i="39"/>
  <c r="F113" i="29"/>
  <c r="D114" i="29" s="1"/>
  <c r="F117" i="23"/>
  <c r="E118" i="23" s="1"/>
  <c r="J108" i="13"/>
  <c r="G109" i="13"/>
  <c r="D110" i="13"/>
  <c r="I33" i="20"/>
  <c r="J108" i="31"/>
  <c r="J114" i="18"/>
  <c r="I28" i="13"/>
  <c r="B35" i="20"/>
  <c r="H34" i="20"/>
  <c r="G34" i="20"/>
  <c r="E35" i="20"/>
  <c r="F35" i="20" s="1"/>
  <c r="J108" i="35"/>
  <c r="J115" i="4"/>
  <c r="I32" i="20"/>
  <c r="B29" i="13"/>
  <c r="F29" i="13"/>
  <c r="H29" i="13" s="1"/>
  <c r="D117" i="4"/>
  <c r="G116" i="4"/>
  <c r="E117" i="4"/>
  <c r="G115" i="18"/>
  <c r="D116" i="18"/>
  <c r="E116" i="18"/>
  <c r="J108" i="38"/>
  <c r="B112" i="25"/>
  <c r="F112" i="25"/>
  <c r="G112" i="26"/>
  <c r="D113" i="26"/>
  <c r="E113" i="26"/>
  <c r="E110" i="31"/>
  <c r="D110" i="31"/>
  <c r="G109" i="31"/>
  <c r="D109" i="37"/>
  <c r="G108" i="37"/>
  <c r="E109" i="37"/>
  <c r="H111" i="25"/>
  <c r="I111" i="25"/>
  <c r="J112" i="28"/>
  <c r="J111" i="26"/>
  <c r="D110" i="35"/>
  <c r="E110" i="35"/>
  <c r="G109" i="35"/>
  <c r="J107" i="37"/>
  <c r="J112" i="27"/>
  <c r="D114" i="21"/>
  <c r="G113" i="21"/>
  <c r="E114" i="21"/>
  <c r="I115" i="19"/>
  <c r="H115" i="19"/>
  <c r="F116" i="19"/>
  <c r="B116" i="19"/>
  <c r="G109" i="34"/>
  <c r="D110" i="34"/>
  <c r="E110" i="34"/>
  <c r="J108" i="34"/>
  <c r="D114" i="27"/>
  <c r="G113" i="27"/>
  <c r="E114" i="27"/>
  <c r="G109" i="38"/>
  <c r="D110" i="38"/>
  <c r="E110" i="38" s="1"/>
  <c r="J112" i="24"/>
  <c r="G113" i="24"/>
  <c r="D114" i="24"/>
  <c r="E114" i="24"/>
  <c r="J116" i="23"/>
  <c r="J112" i="21"/>
  <c r="H116" i="3"/>
  <c r="I116" i="3"/>
  <c r="B110" i="20"/>
  <c r="F110" i="20"/>
  <c r="B113" i="22"/>
  <c r="F113" i="22"/>
  <c r="H109" i="20"/>
  <c r="I109" i="20"/>
  <c r="I112" i="22"/>
  <c r="H112" i="22"/>
  <c r="F117" i="3"/>
  <c r="B117" i="3"/>
  <c r="E113" i="39" l="1"/>
  <c r="G112" i="39"/>
  <c r="I112" i="39" s="1"/>
  <c r="H112" i="39"/>
  <c r="J112" i="39" s="1"/>
  <c r="F113" i="39"/>
  <c r="G113" i="39" s="1"/>
  <c r="I113" i="39" s="1"/>
  <c r="D112" i="40"/>
  <c r="G111" i="40"/>
  <c r="I111" i="40" s="1"/>
  <c r="H111" i="40"/>
  <c r="E114" i="29"/>
  <c r="F114" i="29" s="1"/>
  <c r="G110" i="41"/>
  <c r="I110" i="41" s="1"/>
  <c r="D111" i="41"/>
  <c r="E111" i="41"/>
  <c r="F111" i="41" s="1"/>
  <c r="B110" i="41"/>
  <c r="H110" i="41"/>
  <c r="B113" i="39"/>
  <c r="D118" i="23"/>
  <c r="F118" i="23" s="1"/>
  <c r="D119" i="23" s="1"/>
  <c r="G113" i="29"/>
  <c r="H113" i="29" s="1"/>
  <c r="G117" i="23"/>
  <c r="H117" i="23" s="1"/>
  <c r="J115" i="19"/>
  <c r="E110" i="13"/>
  <c r="F110" i="13" s="1"/>
  <c r="B110" i="13"/>
  <c r="I109" i="13"/>
  <c r="H109" i="13"/>
  <c r="G29" i="13"/>
  <c r="I29" i="13" s="1"/>
  <c r="G35" i="20"/>
  <c r="E36" i="20"/>
  <c r="F36" i="20" s="1"/>
  <c r="B36" i="20"/>
  <c r="H35" i="20"/>
  <c r="I34" i="20"/>
  <c r="D30" i="13"/>
  <c r="E30" i="13" s="1"/>
  <c r="B116" i="18"/>
  <c r="F116" i="18"/>
  <c r="H115" i="18"/>
  <c r="I115" i="18"/>
  <c r="H116" i="4"/>
  <c r="I116" i="4"/>
  <c r="F117" i="4"/>
  <c r="B117" i="4"/>
  <c r="B113" i="26"/>
  <c r="F113" i="26"/>
  <c r="H112" i="26"/>
  <c r="I112" i="26"/>
  <c r="I109" i="35"/>
  <c r="H109" i="35"/>
  <c r="I108" i="37"/>
  <c r="H108" i="37"/>
  <c r="F109" i="37"/>
  <c r="B109" i="37"/>
  <c r="B114" i="28"/>
  <c r="F110" i="35"/>
  <c r="B110" i="35"/>
  <c r="H109" i="31"/>
  <c r="I109" i="31"/>
  <c r="B110" i="31"/>
  <c r="F110" i="31"/>
  <c r="G112" i="25"/>
  <c r="D113" i="25"/>
  <c r="E113" i="25"/>
  <c r="J109" i="20"/>
  <c r="J116" i="3"/>
  <c r="J111" i="25"/>
  <c r="B110" i="38"/>
  <c r="F110" i="38"/>
  <c r="H109" i="38"/>
  <c r="I109" i="38"/>
  <c r="F110" i="34"/>
  <c r="B110" i="34"/>
  <c r="B114" i="27"/>
  <c r="F114" i="27"/>
  <c r="H109" i="34"/>
  <c r="I109" i="34"/>
  <c r="H113" i="21"/>
  <c r="I113" i="21"/>
  <c r="H113" i="24"/>
  <c r="I113" i="24"/>
  <c r="B114" i="24"/>
  <c r="F114" i="24"/>
  <c r="H113" i="27"/>
  <c r="I113" i="27"/>
  <c r="D117" i="19"/>
  <c r="G116" i="19"/>
  <c r="E117" i="19"/>
  <c r="F114" i="21"/>
  <c r="B114" i="21"/>
  <c r="J112" i="22"/>
  <c r="D114" i="22"/>
  <c r="G113" i="22"/>
  <c r="E114" i="22"/>
  <c r="D111" i="20"/>
  <c r="E111" i="20" s="1"/>
  <c r="G110" i="20"/>
  <c r="G117" i="3"/>
  <c r="E118" i="3"/>
  <c r="D118" i="3"/>
  <c r="E114" i="39" l="1"/>
  <c r="H113" i="39"/>
  <c r="J113" i="39" s="1"/>
  <c r="D114" i="39"/>
  <c r="G114" i="29"/>
  <c r="E115" i="29"/>
  <c r="D115" i="29"/>
  <c r="F115" i="29" s="1"/>
  <c r="G115" i="29" s="1"/>
  <c r="G111" i="41"/>
  <c r="I111" i="41" s="1"/>
  <c r="J111" i="41" s="1"/>
  <c r="D112" i="41"/>
  <c r="E112" i="41" s="1"/>
  <c r="H111" i="41"/>
  <c r="B111" i="41"/>
  <c r="F114" i="39"/>
  <c r="B114" i="39"/>
  <c r="J111" i="40"/>
  <c r="J110" i="41"/>
  <c r="E112" i="40"/>
  <c r="F112" i="40" s="1"/>
  <c r="B112" i="40"/>
  <c r="I113" i="29"/>
  <c r="J113" i="29" s="1"/>
  <c r="I117" i="23"/>
  <c r="J117" i="23" s="1"/>
  <c r="J109" i="13"/>
  <c r="D111" i="13"/>
  <c r="G110" i="13"/>
  <c r="G118" i="23"/>
  <c r="H118" i="23" s="1"/>
  <c r="J116" i="4"/>
  <c r="F30" i="13"/>
  <c r="G30" i="13" s="1"/>
  <c r="B30" i="13"/>
  <c r="I35" i="20"/>
  <c r="J112" i="26"/>
  <c r="J115" i="18"/>
  <c r="H36" i="20"/>
  <c r="E37" i="20"/>
  <c r="F37" i="20" s="1"/>
  <c r="G36" i="20"/>
  <c r="B37" i="20"/>
  <c r="J108" i="37"/>
  <c r="D118" i="4"/>
  <c r="G117" i="4"/>
  <c r="E118" i="4"/>
  <c r="J113" i="28"/>
  <c r="D117" i="18"/>
  <c r="G116" i="18"/>
  <c r="E117" i="18"/>
  <c r="J109" i="31"/>
  <c r="F113" i="25"/>
  <c r="B113" i="25"/>
  <c r="J109" i="38"/>
  <c r="H112" i="25"/>
  <c r="I112" i="25"/>
  <c r="D111" i="35"/>
  <c r="G110" i="35"/>
  <c r="E111" i="35"/>
  <c r="J109" i="35"/>
  <c r="G110" i="31"/>
  <c r="E111" i="31"/>
  <c r="D111" i="31"/>
  <c r="G113" i="26"/>
  <c r="E114" i="26"/>
  <c r="D114" i="26"/>
  <c r="J113" i="21"/>
  <c r="D110" i="37"/>
  <c r="G109" i="37"/>
  <c r="E110" i="37"/>
  <c r="E119" i="23"/>
  <c r="F119" i="23" s="1"/>
  <c r="J109" i="34"/>
  <c r="G114" i="21"/>
  <c r="D115" i="21"/>
  <c r="E115" i="21"/>
  <c r="J113" i="27"/>
  <c r="J113" i="24"/>
  <c r="D115" i="24"/>
  <c r="G114" i="24"/>
  <c r="E115" i="24"/>
  <c r="D115" i="27"/>
  <c r="G114" i="27"/>
  <c r="E115" i="27"/>
  <c r="I116" i="19"/>
  <c r="H116" i="19"/>
  <c r="B117" i="19"/>
  <c r="F117" i="19"/>
  <c r="D111" i="38"/>
  <c r="E111" i="38" s="1"/>
  <c r="G110" i="38"/>
  <c r="G110" i="34"/>
  <c r="D111" i="34"/>
  <c r="E111" i="34"/>
  <c r="H113" i="22"/>
  <c r="I113" i="22"/>
  <c r="H117" i="3"/>
  <c r="I117" i="3"/>
  <c r="B114" i="22"/>
  <c r="F114" i="22"/>
  <c r="B111" i="20"/>
  <c r="F111" i="20"/>
  <c r="I110" i="20"/>
  <c r="H110" i="20"/>
  <c r="F118" i="3"/>
  <c r="B118" i="3"/>
  <c r="D113" i="40" l="1"/>
  <c r="G112" i="40"/>
  <c r="I112" i="40" s="1"/>
  <c r="E113" i="40"/>
  <c r="H112" i="40"/>
  <c r="H114" i="39"/>
  <c r="G114" i="39"/>
  <c r="I114" i="39" s="1"/>
  <c r="J114" i="39" s="1"/>
  <c r="D115" i="39"/>
  <c r="E115" i="39"/>
  <c r="F115" i="39" s="1"/>
  <c r="F112" i="41"/>
  <c r="H112" i="41"/>
  <c r="B112" i="41"/>
  <c r="H114" i="29"/>
  <c r="I114" i="29"/>
  <c r="I118" i="23"/>
  <c r="J118" i="23" s="1"/>
  <c r="D116" i="29"/>
  <c r="E116" i="29"/>
  <c r="J112" i="25"/>
  <c r="I110" i="13"/>
  <c r="H110" i="13"/>
  <c r="E111" i="13"/>
  <c r="F111" i="13" s="1"/>
  <c r="B111" i="13"/>
  <c r="D31" i="13"/>
  <c r="E31" i="13" s="1"/>
  <c r="B38" i="20"/>
  <c r="G37" i="20"/>
  <c r="E38" i="20"/>
  <c r="F38" i="20" s="1"/>
  <c r="H37" i="20"/>
  <c r="I36" i="20"/>
  <c r="H30" i="13"/>
  <c r="I30" i="13" s="1"/>
  <c r="B117" i="18"/>
  <c r="F117" i="18"/>
  <c r="I116" i="18"/>
  <c r="H116" i="18"/>
  <c r="I117" i="4"/>
  <c r="H117" i="4"/>
  <c r="B118" i="4"/>
  <c r="F118" i="4"/>
  <c r="J116" i="19"/>
  <c r="I110" i="35"/>
  <c r="H110" i="35"/>
  <c r="F111" i="35"/>
  <c r="B111" i="35"/>
  <c r="H109" i="37"/>
  <c r="I109" i="37"/>
  <c r="B115" i="28"/>
  <c r="F110" i="37"/>
  <c r="B110" i="37"/>
  <c r="F111" i="31"/>
  <c r="B111" i="31"/>
  <c r="F114" i="26"/>
  <c r="B114" i="26"/>
  <c r="I110" i="31"/>
  <c r="H110" i="31"/>
  <c r="G113" i="25"/>
  <c r="E114" i="25"/>
  <c r="D114" i="25"/>
  <c r="J117" i="3"/>
  <c r="H113" i="26"/>
  <c r="I113" i="26"/>
  <c r="H110" i="34"/>
  <c r="I110" i="34"/>
  <c r="I114" i="24"/>
  <c r="H114" i="24"/>
  <c r="H110" i="38"/>
  <c r="I110" i="38"/>
  <c r="H114" i="27"/>
  <c r="I114" i="27"/>
  <c r="B115" i="24"/>
  <c r="F115" i="24"/>
  <c r="B111" i="38"/>
  <c r="F111" i="38"/>
  <c r="F115" i="27"/>
  <c r="B115" i="27"/>
  <c r="H115" i="29"/>
  <c r="I115" i="29"/>
  <c r="F115" i="21"/>
  <c r="B115" i="21"/>
  <c r="J113" i="22"/>
  <c r="I114" i="21"/>
  <c r="H114" i="21"/>
  <c r="G117" i="19"/>
  <c r="D118" i="19"/>
  <c r="E118" i="19"/>
  <c r="B111" i="34"/>
  <c r="F111" i="34"/>
  <c r="G111" i="20"/>
  <c r="D112" i="20"/>
  <c r="E119" i="3"/>
  <c r="G118" i="3"/>
  <c r="D119" i="3"/>
  <c r="D115" i="22"/>
  <c r="E115" i="22"/>
  <c r="G114" i="22"/>
  <c r="J110" i="20"/>
  <c r="G119" i="23"/>
  <c r="D120" i="23"/>
  <c r="E120" i="23" s="1"/>
  <c r="F116" i="29" l="1"/>
  <c r="J112" i="40"/>
  <c r="D116" i="39"/>
  <c r="G115" i="39"/>
  <c r="I115" i="39" s="1"/>
  <c r="E116" i="39"/>
  <c r="H115" i="39"/>
  <c r="B115" i="39"/>
  <c r="J114" i="29"/>
  <c r="D113" i="41"/>
  <c r="E113" i="41" s="1"/>
  <c r="G112" i="41"/>
  <c r="I112" i="41" s="1"/>
  <c r="J112" i="41" s="1"/>
  <c r="F113" i="40"/>
  <c r="B113" i="40"/>
  <c r="D112" i="13"/>
  <c r="G111" i="13"/>
  <c r="J110" i="13"/>
  <c r="I37" i="20"/>
  <c r="J117" i="4"/>
  <c r="G38" i="20"/>
  <c r="B39" i="20"/>
  <c r="E39" i="20"/>
  <c r="F39" i="20" s="1"/>
  <c r="H38" i="20"/>
  <c r="J110" i="31"/>
  <c r="J113" i="26"/>
  <c r="J109" i="37"/>
  <c r="F31" i="13"/>
  <c r="G31" i="13" s="1"/>
  <c r="B31" i="13"/>
  <c r="J116" i="18"/>
  <c r="E118" i="18"/>
  <c r="D118" i="18"/>
  <c r="G117" i="18"/>
  <c r="D119" i="4"/>
  <c r="E119" i="4"/>
  <c r="G118" i="4"/>
  <c r="G114" i="26"/>
  <c r="D115" i="26"/>
  <c r="E115" i="26"/>
  <c r="F114" i="25"/>
  <c r="B114" i="25"/>
  <c r="E112" i="31"/>
  <c r="G111" i="31"/>
  <c r="D112" i="31"/>
  <c r="D112" i="35"/>
  <c r="E112" i="35"/>
  <c r="G111" i="35"/>
  <c r="I113" i="25"/>
  <c r="H113" i="25"/>
  <c r="E111" i="37"/>
  <c r="G110" i="37"/>
  <c r="D111" i="37"/>
  <c r="J114" i="28"/>
  <c r="J110" i="38"/>
  <c r="J110" i="35"/>
  <c r="J114" i="27"/>
  <c r="D112" i="34"/>
  <c r="G111" i="34"/>
  <c r="E112" i="34"/>
  <c r="J114" i="21"/>
  <c r="G115" i="21"/>
  <c r="D116" i="21"/>
  <c r="E116" i="21"/>
  <c r="G115" i="27"/>
  <c r="D116" i="27"/>
  <c r="E116" i="27"/>
  <c r="G115" i="24"/>
  <c r="D116" i="24"/>
  <c r="E116" i="24"/>
  <c r="B118" i="19"/>
  <c r="F118" i="19"/>
  <c r="H117" i="19"/>
  <c r="I117" i="19"/>
  <c r="J115" i="29"/>
  <c r="D117" i="29"/>
  <c r="G116" i="29"/>
  <c r="E117" i="29"/>
  <c r="D112" i="38"/>
  <c r="G111" i="38"/>
  <c r="J114" i="24"/>
  <c r="J110" i="34"/>
  <c r="H118" i="3"/>
  <c r="I118" i="3"/>
  <c r="B119" i="3"/>
  <c r="F119" i="3"/>
  <c r="B112" i="20"/>
  <c r="F120" i="23"/>
  <c r="I111" i="20"/>
  <c r="H111" i="20"/>
  <c r="F115" i="22"/>
  <c r="B115" i="22"/>
  <c r="H119" i="23"/>
  <c r="I119" i="23"/>
  <c r="H114" i="22"/>
  <c r="I114" i="22"/>
  <c r="E112" i="20"/>
  <c r="F112" i="20" s="1"/>
  <c r="J115" i="39" l="1"/>
  <c r="F116" i="39"/>
  <c r="G116" i="39" s="1"/>
  <c r="I116" i="39" s="1"/>
  <c r="D117" i="39"/>
  <c r="E117" i="39"/>
  <c r="F117" i="39" s="1"/>
  <c r="B116" i="39"/>
  <c r="F113" i="41"/>
  <c r="H113" i="41" s="1"/>
  <c r="B113" i="41"/>
  <c r="D114" i="40"/>
  <c r="G113" i="40"/>
  <c r="I113" i="40" s="1"/>
  <c r="H113" i="40"/>
  <c r="H111" i="13"/>
  <c r="I111" i="13"/>
  <c r="E112" i="13"/>
  <c r="F112" i="13" s="1"/>
  <c r="B112" i="13"/>
  <c r="I38" i="20"/>
  <c r="J119" i="23"/>
  <c r="E40" i="20"/>
  <c r="F40" i="20" s="1"/>
  <c r="B40" i="20"/>
  <c r="G39" i="20"/>
  <c r="H39" i="20"/>
  <c r="H31" i="13"/>
  <c r="I31" i="13" s="1"/>
  <c r="D32" i="13"/>
  <c r="E32" i="13" s="1"/>
  <c r="I118" i="4"/>
  <c r="H118" i="4"/>
  <c r="I117" i="18"/>
  <c r="H117" i="18"/>
  <c r="B119" i="4"/>
  <c r="F119" i="4"/>
  <c r="B118" i="18"/>
  <c r="F118" i="18"/>
  <c r="B111" i="37"/>
  <c r="F111" i="37"/>
  <c r="B112" i="31"/>
  <c r="F112" i="31"/>
  <c r="I110" i="37"/>
  <c r="H110" i="37"/>
  <c r="H111" i="31"/>
  <c r="I111" i="31"/>
  <c r="B116" i="28"/>
  <c r="J113" i="25"/>
  <c r="G114" i="25"/>
  <c r="D115" i="25"/>
  <c r="E115" i="25"/>
  <c r="H111" i="35"/>
  <c r="I111" i="35"/>
  <c r="B115" i="26"/>
  <c r="F115" i="26"/>
  <c r="J114" i="22"/>
  <c r="B112" i="35"/>
  <c r="F112" i="35"/>
  <c r="H114" i="26"/>
  <c r="I114" i="26"/>
  <c r="J118" i="3"/>
  <c r="J117" i="19"/>
  <c r="F117" i="29"/>
  <c r="D118" i="29" s="1"/>
  <c r="E118" i="29" s="1"/>
  <c r="B112" i="38"/>
  <c r="B116" i="24"/>
  <c r="F116" i="24"/>
  <c r="F116" i="21"/>
  <c r="B116" i="21"/>
  <c r="I115" i="24"/>
  <c r="H115" i="24"/>
  <c r="I115" i="21"/>
  <c r="H115" i="21"/>
  <c r="H111" i="38"/>
  <c r="I111" i="38"/>
  <c r="J111" i="20"/>
  <c r="E119" i="19"/>
  <c r="D119" i="19"/>
  <c r="G118" i="19"/>
  <c r="I115" i="27"/>
  <c r="H115" i="27"/>
  <c r="I111" i="34"/>
  <c r="H111" i="34"/>
  <c r="E112" i="38"/>
  <c r="F112" i="38" s="1"/>
  <c r="I116" i="29"/>
  <c r="H116" i="29"/>
  <c r="F116" i="27"/>
  <c r="B116" i="27"/>
  <c r="F112" i="34"/>
  <c r="B112" i="34"/>
  <c r="D113" i="20"/>
  <c r="E113" i="20" s="1"/>
  <c r="G112" i="20"/>
  <c r="G119" i="3"/>
  <c r="D120" i="3"/>
  <c r="E120" i="3"/>
  <c r="G120" i="23"/>
  <c r="D121" i="23"/>
  <c r="E121" i="23" s="1"/>
  <c r="D116" i="22"/>
  <c r="G115" i="22"/>
  <c r="E116" i="22"/>
  <c r="H116" i="39" l="1"/>
  <c r="D118" i="39"/>
  <c r="G117" i="39"/>
  <c r="I117" i="39" s="1"/>
  <c r="E118" i="39"/>
  <c r="J113" i="40"/>
  <c r="G113" i="41"/>
  <c r="I113" i="41" s="1"/>
  <c r="J113" i="41" s="1"/>
  <c r="D114" i="41"/>
  <c r="E114" i="41"/>
  <c r="F114" i="41" s="1"/>
  <c r="H117" i="39"/>
  <c r="B117" i="39"/>
  <c r="E114" i="40"/>
  <c r="F114" i="40" s="1"/>
  <c r="B114" i="40"/>
  <c r="J116" i="39"/>
  <c r="J114" i="26"/>
  <c r="J111" i="13"/>
  <c r="J111" i="38"/>
  <c r="D113" i="13"/>
  <c r="B113" i="13" s="1"/>
  <c r="G112" i="13"/>
  <c r="I39" i="20"/>
  <c r="J111" i="35"/>
  <c r="J115" i="28"/>
  <c r="J111" i="31"/>
  <c r="H40" i="20"/>
  <c r="B41" i="20"/>
  <c r="E41" i="20"/>
  <c r="F41" i="20" s="1"/>
  <c r="G40" i="20"/>
  <c r="F32" i="13"/>
  <c r="H32" i="13" s="1"/>
  <c r="B32" i="13"/>
  <c r="G119" i="4"/>
  <c r="E120" i="4"/>
  <c r="D120" i="4"/>
  <c r="J117" i="18"/>
  <c r="G118" i="18"/>
  <c r="D119" i="18"/>
  <c r="E119" i="18"/>
  <c r="J115" i="21"/>
  <c r="J118" i="4"/>
  <c r="D113" i="35"/>
  <c r="E113" i="35"/>
  <c r="G112" i="35"/>
  <c r="J115" i="24"/>
  <c r="B115" i="25"/>
  <c r="F115" i="25"/>
  <c r="J110" i="37"/>
  <c r="E116" i="26"/>
  <c r="G115" i="26"/>
  <c r="D116" i="26"/>
  <c r="I114" i="25"/>
  <c r="H114" i="25"/>
  <c r="D113" i="31"/>
  <c r="E113" i="31"/>
  <c r="G112" i="31"/>
  <c r="G117" i="29"/>
  <c r="H117" i="29" s="1"/>
  <c r="D112" i="37"/>
  <c r="G111" i="37"/>
  <c r="E112" i="37"/>
  <c r="J115" i="27"/>
  <c r="D113" i="38"/>
  <c r="E113" i="38" s="1"/>
  <c r="G112" i="38"/>
  <c r="G116" i="21"/>
  <c r="D117" i="21"/>
  <c r="E117" i="21"/>
  <c r="G116" i="27"/>
  <c r="D117" i="27"/>
  <c r="E117" i="27"/>
  <c r="H118" i="19"/>
  <c r="I118" i="19"/>
  <c r="G116" i="24"/>
  <c r="D117" i="24"/>
  <c r="E117" i="24"/>
  <c r="F119" i="19"/>
  <c r="B119" i="19"/>
  <c r="F118" i="29"/>
  <c r="J116" i="29"/>
  <c r="J111" i="34"/>
  <c r="D113" i="34"/>
  <c r="G112" i="34"/>
  <c r="E113" i="34"/>
  <c r="H115" i="22"/>
  <c r="I115" i="22"/>
  <c r="H119" i="3"/>
  <c r="I119" i="3"/>
  <c r="F120" i="3"/>
  <c r="B120" i="3"/>
  <c r="B116" i="22"/>
  <c r="F116" i="22"/>
  <c r="F121" i="23"/>
  <c r="H120" i="23"/>
  <c r="I120" i="23"/>
  <c r="H112" i="20"/>
  <c r="I112" i="20"/>
  <c r="B113" i="20"/>
  <c r="F113" i="20"/>
  <c r="G114" i="40" l="1"/>
  <c r="I114" i="40" s="1"/>
  <c r="D115" i="40"/>
  <c r="E115" i="40"/>
  <c r="H114" i="41"/>
  <c r="B114" i="41"/>
  <c r="J117" i="39"/>
  <c r="D115" i="41"/>
  <c r="G114" i="41"/>
  <c r="I114" i="41" s="1"/>
  <c r="J114" i="41" s="1"/>
  <c r="H114" i="40"/>
  <c r="F118" i="39"/>
  <c r="H118" i="39"/>
  <c r="B118" i="39"/>
  <c r="I117" i="29"/>
  <c r="J117" i="29" s="1"/>
  <c r="E113" i="13"/>
  <c r="F113" i="13" s="1"/>
  <c r="H112" i="13"/>
  <c r="I112" i="13"/>
  <c r="D33" i="13"/>
  <c r="G32" i="13"/>
  <c r="I32" i="13" s="1"/>
  <c r="J115" i="22"/>
  <c r="E42" i="20"/>
  <c r="F42" i="20" s="1"/>
  <c r="H41" i="20"/>
  <c r="B42" i="20"/>
  <c r="G41" i="20"/>
  <c r="I40" i="20"/>
  <c r="I118" i="18"/>
  <c r="H118" i="18"/>
  <c r="F120" i="4"/>
  <c r="B120" i="4"/>
  <c r="B119" i="18"/>
  <c r="F119" i="18"/>
  <c r="H119" i="4"/>
  <c r="I119" i="4"/>
  <c r="I112" i="31"/>
  <c r="H112" i="31"/>
  <c r="B117" i="28"/>
  <c r="G115" i="25"/>
  <c r="D116" i="25"/>
  <c r="E116" i="25"/>
  <c r="B113" i="31"/>
  <c r="F113" i="31"/>
  <c r="J114" i="25"/>
  <c r="I112" i="35"/>
  <c r="H112" i="35"/>
  <c r="I111" i="37"/>
  <c r="H111" i="37"/>
  <c r="F116" i="26"/>
  <c r="B116" i="26"/>
  <c r="F112" i="37"/>
  <c r="B112" i="37"/>
  <c r="I115" i="26"/>
  <c r="H115" i="26"/>
  <c r="B113" i="35"/>
  <c r="F113" i="35"/>
  <c r="J120" i="23"/>
  <c r="H112" i="34"/>
  <c r="I112" i="34"/>
  <c r="H112" i="38"/>
  <c r="I112" i="38"/>
  <c r="D119" i="29"/>
  <c r="E119" i="29" s="1"/>
  <c r="G118" i="29"/>
  <c r="B117" i="24"/>
  <c r="F117" i="24"/>
  <c r="B117" i="27"/>
  <c r="F117" i="27"/>
  <c r="H116" i="24"/>
  <c r="I116" i="24"/>
  <c r="I116" i="27"/>
  <c r="H116" i="27"/>
  <c r="B113" i="38"/>
  <c r="F113" i="38"/>
  <c r="B113" i="34"/>
  <c r="F113" i="34"/>
  <c r="J119" i="3"/>
  <c r="F117" i="21"/>
  <c r="B117" i="21"/>
  <c r="D120" i="19"/>
  <c r="G119" i="19"/>
  <c r="E120" i="19"/>
  <c r="J118" i="19"/>
  <c r="H116" i="21"/>
  <c r="I116" i="21"/>
  <c r="G120" i="3"/>
  <c r="D121" i="3"/>
  <c r="E121" i="3"/>
  <c r="D122" i="23"/>
  <c r="E122" i="23" s="1"/>
  <c r="G121" i="23"/>
  <c r="D114" i="20"/>
  <c r="E114" i="20" s="1"/>
  <c r="G113" i="20"/>
  <c r="G116" i="22"/>
  <c r="E117" i="22"/>
  <c r="D117" i="22"/>
  <c r="J112" i="20"/>
  <c r="B115" i="41" l="1"/>
  <c r="F115" i="40"/>
  <c r="B115" i="40"/>
  <c r="G118" i="39"/>
  <c r="I118" i="39" s="1"/>
  <c r="J118" i="39" s="1"/>
  <c r="D119" i="39"/>
  <c r="E119" i="39"/>
  <c r="E115" i="41"/>
  <c r="F115" i="41" s="1"/>
  <c r="J114" i="40"/>
  <c r="J112" i="13"/>
  <c r="J119" i="4"/>
  <c r="D114" i="13"/>
  <c r="G113" i="13"/>
  <c r="I41" i="20"/>
  <c r="B33" i="13"/>
  <c r="G42" i="20"/>
  <c r="E43" i="20"/>
  <c r="F43" i="20" s="1"/>
  <c r="B43" i="20"/>
  <c r="H42" i="20"/>
  <c r="J118" i="18"/>
  <c r="E33" i="13"/>
  <c r="F33" i="13" s="1"/>
  <c r="J111" i="37"/>
  <c r="G119" i="18"/>
  <c r="D120" i="18"/>
  <c r="E120" i="18"/>
  <c r="E121" i="4"/>
  <c r="G120" i="4"/>
  <c r="D121" i="4"/>
  <c r="G113" i="35"/>
  <c r="D114" i="35"/>
  <c r="E114" i="35"/>
  <c r="B116" i="25"/>
  <c r="F116" i="25"/>
  <c r="J116" i="24"/>
  <c r="J115" i="26"/>
  <c r="J112" i="35"/>
  <c r="H115" i="25"/>
  <c r="I115" i="25"/>
  <c r="D113" i="37"/>
  <c r="E113" i="37"/>
  <c r="G112" i="37"/>
  <c r="G113" i="31"/>
  <c r="E114" i="31"/>
  <c r="D114" i="31"/>
  <c r="G116" i="26"/>
  <c r="D117" i="26"/>
  <c r="E117" i="26"/>
  <c r="J116" i="28"/>
  <c r="J112" i="31"/>
  <c r="H119" i="19"/>
  <c r="I119" i="19"/>
  <c r="F120" i="19"/>
  <c r="B120" i="19"/>
  <c r="J116" i="27"/>
  <c r="H118" i="29"/>
  <c r="I118" i="29"/>
  <c r="J112" i="34"/>
  <c r="D118" i="24"/>
  <c r="G117" i="24"/>
  <c r="E118" i="24"/>
  <c r="G117" i="21"/>
  <c r="D118" i="21"/>
  <c r="E118" i="21"/>
  <c r="F119" i="29"/>
  <c r="D114" i="38"/>
  <c r="G113" i="38"/>
  <c r="J116" i="21"/>
  <c r="J112" i="38"/>
  <c r="D114" i="34"/>
  <c r="G113" i="34"/>
  <c r="E114" i="34"/>
  <c r="D118" i="27"/>
  <c r="G117" i="27"/>
  <c r="E118" i="27"/>
  <c r="B121" i="3"/>
  <c r="F121" i="3"/>
  <c r="I113" i="20"/>
  <c r="H113" i="20"/>
  <c r="H120" i="3"/>
  <c r="I120" i="3"/>
  <c r="F122" i="23"/>
  <c r="F117" i="22"/>
  <c r="B117" i="22"/>
  <c r="B114" i="20"/>
  <c r="F114" i="20"/>
  <c r="I116" i="22"/>
  <c r="H116" i="22"/>
  <c r="H121" i="23"/>
  <c r="I121" i="23"/>
  <c r="D116" i="41" l="1"/>
  <c r="G115" i="41"/>
  <c r="I115" i="41" s="1"/>
  <c r="E116" i="41"/>
  <c r="H115" i="41"/>
  <c r="G115" i="40"/>
  <c r="I115" i="40" s="1"/>
  <c r="D116" i="40"/>
  <c r="E116" i="40"/>
  <c r="H115" i="40"/>
  <c r="B119" i="39"/>
  <c r="F119" i="39"/>
  <c r="H113" i="13"/>
  <c r="I113" i="13"/>
  <c r="J115" i="25"/>
  <c r="E114" i="13"/>
  <c r="F114" i="13" s="1"/>
  <c r="B114" i="13"/>
  <c r="D34" i="13"/>
  <c r="E34" i="13" s="1"/>
  <c r="H33" i="13"/>
  <c r="G33" i="13"/>
  <c r="I42" i="20"/>
  <c r="E44" i="20"/>
  <c r="F44" i="20" s="1"/>
  <c r="B44" i="20"/>
  <c r="H43" i="20"/>
  <c r="G43" i="20"/>
  <c r="F121" i="4"/>
  <c r="B121" i="4"/>
  <c r="J120" i="3"/>
  <c r="F120" i="18"/>
  <c r="B120" i="18"/>
  <c r="I119" i="18"/>
  <c r="H119" i="18"/>
  <c r="H120" i="4"/>
  <c r="I120" i="4"/>
  <c r="F113" i="37"/>
  <c r="B113" i="37"/>
  <c r="B117" i="26"/>
  <c r="F117" i="26"/>
  <c r="B118" i="28"/>
  <c r="D117" i="25"/>
  <c r="E117" i="25"/>
  <c r="G116" i="25"/>
  <c r="H116" i="26"/>
  <c r="I116" i="26"/>
  <c r="B114" i="31"/>
  <c r="F114" i="31"/>
  <c r="B114" i="35"/>
  <c r="F114" i="35"/>
  <c r="H113" i="31"/>
  <c r="I113" i="31"/>
  <c r="H113" i="35"/>
  <c r="I113" i="35"/>
  <c r="I112" i="37"/>
  <c r="H112" i="37"/>
  <c r="H113" i="34"/>
  <c r="I113" i="34"/>
  <c r="F114" i="34"/>
  <c r="B114" i="34"/>
  <c r="D120" i="29"/>
  <c r="E120" i="29" s="1"/>
  <c r="G119" i="29"/>
  <c r="J118" i="29"/>
  <c r="D121" i="19"/>
  <c r="E121" i="19" s="1"/>
  <c r="G120" i="19"/>
  <c r="B114" i="38"/>
  <c r="E114" i="38"/>
  <c r="F114" i="38" s="1"/>
  <c r="B118" i="21"/>
  <c r="F118" i="21"/>
  <c r="I117" i="21"/>
  <c r="H117" i="21"/>
  <c r="H117" i="27"/>
  <c r="I117" i="27"/>
  <c r="B118" i="24"/>
  <c r="F118" i="24"/>
  <c r="J121" i="23"/>
  <c r="F118" i="27"/>
  <c r="B118" i="27"/>
  <c r="H113" i="38"/>
  <c r="I113" i="38"/>
  <c r="H117" i="24"/>
  <c r="I117" i="24"/>
  <c r="J119" i="19"/>
  <c r="D115" i="20"/>
  <c r="G114" i="20"/>
  <c r="J113" i="20"/>
  <c r="E118" i="22"/>
  <c r="G117" i="22"/>
  <c r="D118" i="22"/>
  <c r="J116" i="22"/>
  <c r="D122" i="3"/>
  <c r="G121" i="3"/>
  <c r="G122" i="23"/>
  <c r="D123" i="23"/>
  <c r="G119" i="39" l="1"/>
  <c r="I119" i="39" s="1"/>
  <c r="D120" i="39"/>
  <c r="E120" i="39"/>
  <c r="B116" i="40"/>
  <c r="F116" i="40"/>
  <c r="H116" i="40"/>
  <c r="J115" i="41"/>
  <c r="H119" i="39"/>
  <c r="J115" i="40"/>
  <c r="F116" i="41"/>
  <c r="H116" i="41" s="1"/>
  <c r="B116" i="41"/>
  <c r="J113" i="13"/>
  <c r="J117" i="27"/>
  <c r="D115" i="13"/>
  <c r="G114" i="13"/>
  <c r="B45" i="20"/>
  <c r="H44" i="20"/>
  <c r="E45" i="20"/>
  <c r="F45" i="20" s="1"/>
  <c r="G44" i="20"/>
  <c r="J113" i="35"/>
  <c r="J119" i="18"/>
  <c r="I33" i="13"/>
  <c r="J113" i="38"/>
  <c r="J113" i="31"/>
  <c r="J116" i="26"/>
  <c r="B34" i="13"/>
  <c r="F34" i="13"/>
  <c r="H34" i="13" s="1"/>
  <c r="J113" i="34"/>
  <c r="I43" i="20"/>
  <c r="J117" i="24"/>
  <c r="G120" i="18"/>
  <c r="D121" i="18"/>
  <c r="B121" i="18" s="1"/>
  <c r="J120" i="4"/>
  <c r="G121" i="4"/>
  <c r="D122" i="4"/>
  <c r="D115" i="31"/>
  <c r="G114" i="31"/>
  <c r="E115" i="31"/>
  <c r="F117" i="25"/>
  <c r="B117" i="25"/>
  <c r="J112" i="37"/>
  <c r="J117" i="28"/>
  <c r="D118" i="26"/>
  <c r="G117" i="26"/>
  <c r="E118" i="26"/>
  <c r="G114" i="35"/>
  <c r="E115" i="35"/>
  <c r="D115" i="35"/>
  <c r="H116" i="25"/>
  <c r="I116" i="25"/>
  <c r="D114" i="37"/>
  <c r="G113" i="37"/>
  <c r="E114" i="37"/>
  <c r="J117" i="21"/>
  <c r="F121" i="19"/>
  <c r="B121" i="19"/>
  <c r="G114" i="34"/>
  <c r="D115" i="34"/>
  <c r="E115" i="34"/>
  <c r="G118" i="27"/>
  <c r="D119" i="27"/>
  <c r="E119" i="27"/>
  <c r="D115" i="38"/>
  <c r="E115" i="38" s="1"/>
  <c r="G114" i="38"/>
  <c r="G118" i="21"/>
  <c r="D119" i="21"/>
  <c r="E119" i="21"/>
  <c r="G118" i="24"/>
  <c r="D119" i="24"/>
  <c r="E119" i="24"/>
  <c r="I120" i="19"/>
  <c r="H120" i="19"/>
  <c r="F120" i="29"/>
  <c r="H119" i="29"/>
  <c r="I119" i="29"/>
  <c r="B118" i="22"/>
  <c r="F118" i="22"/>
  <c r="B122" i="3"/>
  <c r="B115" i="20"/>
  <c r="H122" i="23"/>
  <c r="I122" i="23"/>
  <c r="H121" i="3"/>
  <c r="I121" i="3"/>
  <c r="H114" i="20"/>
  <c r="I114" i="20"/>
  <c r="I117" i="22"/>
  <c r="H117" i="22"/>
  <c r="E123" i="23"/>
  <c r="F123" i="23" s="1"/>
  <c r="E122" i="3"/>
  <c r="F122" i="3" s="1"/>
  <c r="E115" i="20"/>
  <c r="F115" i="20" s="1"/>
  <c r="D117" i="41" l="1"/>
  <c r="G116" i="41"/>
  <c r="I116" i="41" s="1"/>
  <c r="J116" i="41" s="1"/>
  <c r="E117" i="41"/>
  <c r="F120" i="39"/>
  <c r="B120" i="39"/>
  <c r="D117" i="40"/>
  <c r="G116" i="40"/>
  <c r="I116" i="40" s="1"/>
  <c r="J116" i="40" s="1"/>
  <c r="J119" i="39"/>
  <c r="H114" i="13"/>
  <c r="I114" i="13"/>
  <c r="E115" i="13"/>
  <c r="F115" i="13" s="1"/>
  <c r="B115" i="13"/>
  <c r="G34" i="13"/>
  <c r="I34" i="13" s="1"/>
  <c r="D35" i="13"/>
  <c r="E46" i="20"/>
  <c r="F46" i="20" s="1"/>
  <c r="G45" i="20"/>
  <c r="H45" i="20"/>
  <c r="B46" i="20"/>
  <c r="I44" i="20"/>
  <c r="J122" i="23"/>
  <c r="E122" i="4"/>
  <c r="F122" i="4" s="1"/>
  <c r="B122" i="4"/>
  <c r="H121" i="4"/>
  <c r="I121" i="4"/>
  <c r="J119" i="29"/>
  <c r="E121" i="18"/>
  <c r="F121" i="18" s="1"/>
  <c r="I120" i="18"/>
  <c r="H120" i="18"/>
  <c r="B115" i="35"/>
  <c r="F115" i="35"/>
  <c r="H114" i="35"/>
  <c r="I114" i="35"/>
  <c r="H113" i="37"/>
  <c r="I113" i="37"/>
  <c r="I117" i="26"/>
  <c r="H117" i="26"/>
  <c r="D118" i="25"/>
  <c r="G117" i="25"/>
  <c r="E118" i="25"/>
  <c r="B114" i="37"/>
  <c r="F114" i="37"/>
  <c r="F118" i="26"/>
  <c r="B118" i="26"/>
  <c r="J116" i="25"/>
  <c r="I114" i="31"/>
  <c r="H114" i="31"/>
  <c r="J121" i="3"/>
  <c r="B119" i="28"/>
  <c r="F115" i="31"/>
  <c r="B115" i="31"/>
  <c r="H118" i="24"/>
  <c r="I118" i="24"/>
  <c r="H114" i="38"/>
  <c r="I114" i="38"/>
  <c r="B119" i="21"/>
  <c r="F119" i="21"/>
  <c r="I118" i="21"/>
  <c r="H118" i="21"/>
  <c r="H114" i="34"/>
  <c r="I114" i="34"/>
  <c r="B119" i="24"/>
  <c r="F119" i="24"/>
  <c r="B115" i="34"/>
  <c r="F115" i="34"/>
  <c r="F119" i="27"/>
  <c r="B119" i="27"/>
  <c r="D122" i="19"/>
  <c r="G121" i="19"/>
  <c r="J120" i="19"/>
  <c r="D121" i="29"/>
  <c r="G120" i="29"/>
  <c r="F115" i="38"/>
  <c r="B115" i="38"/>
  <c r="J114" i="20"/>
  <c r="I118" i="27"/>
  <c r="H118" i="27"/>
  <c r="G115" i="20"/>
  <c r="D116" i="20"/>
  <c r="E116" i="20" s="1"/>
  <c r="D123" i="3"/>
  <c r="E123" i="3" s="1"/>
  <c r="G122" i="3"/>
  <c r="G123" i="23"/>
  <c r="D124" i="23"/>
  <c r="E124" i="23" s="1"/>
  <c r="J117" i="22"/>
  <c r="G118" i="22"/>
  <c r="D119" i="22"/>
  <c r="E117" i="40" l="1"/>
  <c r="F117" i="40"/>
  <c r="H117" i="40" s="1"/>
  <c r="B117" i="40"/>
  <c r="G120" i="39"/>
  <c r="I120" i="39" s="1"/>
  <c r="D121" i="39"/>
  <c r="E121" i="39" s="1"/>
  <c r="H120" i="39"/>
  <c r="F117" i="41"/>
  <c r="H117" i="41" s="1"/>
  <c r="B117" i="41"/>
  <c r="J114" i="13"/>
  <c r="G115" i="13"/>
  <c r="D116" i="13"/>
  <c r="J114" i="35"/>
  <c r="J118" i="28"/>
  <c r="I45" i="20"/>
  <c r="J121" i="4"/>
  <c r="J120" i="18"/>
  <c r="B35" i="13"/>
  <c r="E35" i="13"/>
  <c r="F35" i="13" s="1"/>
  <c r="G46" i="20"/>
  <c r="B47" i="20"/>
  <c r="H46" i="20"/>
  <c r="E47" i="20"/>
  <c r="F47" i="20" s="1"/>
  <c r="G121" i="18"/>
  <c r="D122" i="18"/>
  <c r="J114" i="31"/>
  <c r="D123" i="4"/>
  <c r="G122" i="4"/>
  <c r="B120" i="28"/>
  <c r="G114" i="37"/>
  <c r="E115" i="37"/>
  <c r="D115" i="37"/>
  <c r="I117" i="25"/>
  <c r="H117" i="25"/>
  <c r="F118" i="25"/>
  <c r="B118" i="25"/>
  <c r="J117" i="26"/>
  <c r="E116" i="35"/>
  <c r="G115" i="35"/>
  <c r="D116" i="35"/>
  <c r="J114" i="34"/>
  <c r="D116" i="31"/>
  <c r="G115" i="31"/>
  <c r="E116" i="31"/>
  <c r="D119" i="26"/>
  <c r="E119" i="26" s="1"/>
  <c r="G118" i="26"/>
  <c r="J113" i="37"/>
  <c r="G119" i="27"/>
  <c r="D120" i="27"/>
  <c r="E120" i="27" s="1"/>
  <c r="J118" i="21"/>
  <c r="B122" i="19"/>
  <c r="G115" i="34"/>
  <c r="D116" i="34"/>
  <c r="E116" i="34"/>
  <c r="D120" i="21"/>
  <c r="E120" i="21" s="1"/>
  <c r="G119" i="21"/>
  <c r="J118" i="27"/>
  <c r="G115" i="38"/>
  <c r="D116" i="38"/>
  <c r="E116" i="38" s="1"/>
  <c r="E122" i="19"/>
  <c r="F122" i="19" s="1"/>
  <c r="H120" i="29"/>
  <c r="I120" i="29"/>
  <c r="E121" i="29"/>
  <c r="F121" i="29" s="1"/>
  <c r="I121" i="19"/>
  <c r="H121" i="19"/>
  <c r="D120" i="24"/>
  <c r="G119" i="24"/>
  <c r="E120" i="24"/>
  <c r="J114" i="38"/>
  <c r="J118" i="24"/>
  <c r="H122" i="3"/>
  <c r="I122" i="3"/>
  <c r="B123" i="3"/>
  <c r="F123" i="3"/>
  <c r="B119" i="22"/>
  <c r="I118" i="22"/>
  <c r="H118" i="22"/>
  <c r="B116" i="20"/>
  <c r="F116" i="20"/>
  <c r="I123" i="23"/>
  <c r="H123" i="23"/>
  <c r="E119" i="22"/>
  <c r="F119" i="22" s="1"/>
  <c r="F124" i="23"/>
  <c r="I115" i="20"/>
  <c r="H115" i="20"/>
  <c r="F121" i="39" l="1"/>
  <c r="H121" i="39"/>
  <c r="B121" i="39"/>
  <c r="D118" i="40"/>
  <c r="G117" i="40"/>
  <c r="I117" i="40" s="1"/>
  <c r="J117" i="40" s="1"/>
  <c r="D118" i="41"/>
  <c r="G117" i="41"/>
  <c r="I117" i="41" s="1"/>
  <c r="J117" i="41" s="1"/>
  <c r="E118" i="41"/>
  <c r="F118" i="41" s="1"/>
  <c r="J120" i="39"/>
  <c r="I46" i="20"/>
  <c r="E116" i="13"/>
  <c r="F116" i="13" s="1"/>
  <c r="B116" i="13"/>
  <c r="H115" i="13"/>
  <c r="I115" i="13"/>
  <c r="D36" i="13"/>
  <c r="E36" i="13" s="1"/>
  <c r="G35" i="13"/>
  <c r="H35" i="13"/>
  <c r="H47" i="20"/>
  <c r="E48" i="20"/>
  <c r="F48" i="20" s="1"/>
  <c r="G47" i="20"/>
  <c r="B48" i="20"/>
  <c r="H122" i="4"/>
  <c r="I122" i="4"/>
  <c r="J117" i="25"/>
  <c r="E123" i="4"/>
  <c r="F123" i="4" s="1"/>
  <c r="B123" i="4"/>
  <c r="E122" i="18"/>
  <c r="F122" i="18" s="1"/>
  <c r="B122" i="18"/>
  <c r="H121" i="18"/>
  <c r="I121" i="18"/>
  <c r="F116" i="31"/>
  <c r="B116" i="31"/>
  <c r="B116" i="35"/>
  <c r="F116" i="35"/>
  <c r="B115" i="37"/>
  <c r="F115" i="37"/>
  <c r="H115" i="35"/>
  <c r="I115" i="35"/>
  <c r="H118" i="26"/>
  <c r="I118" i="26"/>
  <c r="I114" i="37"/>
  <c r="H114" i="37"/>
  <c r="B119" i="26"/>
  <c r="F119" i="26"/>
  <c r="H115" i="31"/>
  <c r="I115" i="31"/>
  <c r="G118" i="25"/>
  <c r="D119" i="25"/>
  <c r="E119" i="25" s="1"/>
  <c r="J120" i="29"/>
  <c r="J121" i="19"/>
  <c r="G122" i="19"/>
  <c r="D123" i="19"/>
  <c r="E123" i="19" s="1"/>
  <c r="G121" i="29"/>
  <c r="D122" i="29"/>
  <c r="E122" i="29" s="1"/>
  <c r="F120" i="21"/>
  <c r="B120" i="21"/>
  <c r="H115" i="38"/>
  <c r="I115" i="38"/>
  <c r="I119" i="21"/>
  <c r="H119" i="21"/>
  <c r="H119" i="24"/>
  <c r="I119" i="24"/>
  <c r="B120" i="27"/>
  <c r="F120" i="27"/>
  <c r="F116" i="38"/>
  <c r="B116" i="38"/>
  <c r="J115" i="20"/>
  <c r="J122" i="3"/>
  <c r="B116" i="34"/>
  <c r="F116" i="34"/>
  <c r="H119" i="27"/>
  <c r="I119" i="27"/>
  <c r="B120" i="24"/>
  <c r="F120" i="24"/>
  <c r="I115" i="34"/>
  <c r="H115" i="34"/>
  <c r="G119" i="22"/>
  <c r="D120" i="22"/>
  <c r="E120" i="22" s="1"/>
  <c r="D125" i="23"/>
  <c r="G124" i="23"/>
  <c r="J123" i="23"/>
  <c r="J118" i="22"/>
  <c r="D124" i="3"/>
  <c r="E124" i="3" s="1"/>
  <c r="G123" i="3"/>
  <c r="G116" i="20"/>
  <c r="D117" i="20"/>
  <c r="E118" i="40" l="1"/>
  <c r="B118" i="40"/>
  <c r="F118" i="40"/>
  <c r="H118" i="40"/>
  <c r="H118" i="41"/>
  <c r="B118" i="41"/>
  <c r="D119" i="41"/>
  <c r="G118" i="41"/>
  <c r="I118" i="41" s="1"/>
  <c r="J118" i="41" s="1"/>
  <c r="D122" i="39"/>
  <c r="G121" i="39"/>
  <c r="I121" i="39" s="1"/>
  <c r="J121" i="39" s="1"/>
  <c r="E122" i="39"/>
  <c r="J115" i="35"/>
  <c r="J118" i="26"/>
  <c r="J115" i="31"/>
  <c r="D117" i="13"/>
  <c r="G116" i="13"/>
  <c r="J119" i="28"/>
  <c r="J115" i="13"/>
  <c r="I35" i="13"/>
  <c r="I47" i="20"/>
  <c r="J121" i="18"/>
  <c r="B49" i="20"/>
  <c r="H48" i="20"/>
  <c r="G48" i="20"/>
  <c r="E49" i="20"/>
  <c r="F49" i="20" s="1"/>
  <c r="J122" i="4"/>
  <c r="F36" i="13"/>
  <c r="H36" i="13" s="1"/>
  <c r="B36" i="13"/>
  <c r="D123" i="18"/>
  <c r="G122" i="18"/>
  <c r="G123" i="4"/>
  <c r="D124" i="4"/>
  <c r="B124" i="4" s="1"/>
  <c r="J115" i="38"/>
  <c r="B121" i="28"/>
  <c r="G119" i="26"/>
  <c r="D120" i="26"/>
  <c r="G115" i="37"/>
  <c r="D116" i="37"/>
  <c r="E116" i="37"/>
  <c r="B119" i="25"/>
  <c r="F119" i="25"/>
  <c r="H118" i="25"/>
  <c r="I118" i="25"/>
  <c r="G116" i="35"/>
  <c r="D117" i="35"/>
  <c r="J114" i="37"/>
  <c r="D117" i="31"/>
  <c r="B117" i="31" s="1"/>
  <c r="G116" i="31"/>
  <c r="D121" i="21"/>
  <c r="E121" i="21" s="1"/>
  <c r="G120" i="21"/>
  <c r="D121" i="24"/>
  <c r="E121" i="24" s="1"/>
  <c r="G120" i="24"/>
  <c r="J119" i="27"/>
  <c r="J119" i="24"/>
  <c r="F122" i="29"/>
  <c r="J119" i="21"/>
  <c r="H121" i="29"/>
  <c r="I121" i="29"/>
  <c r="D117" i="34"/>
  <c r="G116" i="34"/>
  <c r="D117" i="38"/>
  <c r="E117" i="38" s="1"/>
  <c r="G116" i="38"/>
  <c r="F123" i="19"/>
  <c r="B123" i="19"/>
  <c r="J115" i="34"/>
  <c r="D121" i="27"/>
  <c r="G120" i="27"/>
  <c r="H122" i="19"/>
  <c r="I122" i="19"/>
  <c r="B117" i="20"/>
  <c r="H119" i="22"/>
  <c r="I119" i="22"/>
  <c r="F120" i="22"/>
  <c r="B120" i="22"/>
  <c r="I116" i="20"/>
  <c r="H116" i="20"/>
  <c r="H123" i="3"/>
  <c r="I123" i="3"/>
  <c r="I124" i="23"/>
  <c r="H124" i="23"/>
  <c r="E117" i="20"/>
  <c r="F117" i="20" s="1"/>
  <c r="B124" i="3"/>
  <c r="F124" i="3"/>
  <c r="E125" i="23"/>
  <c r="F125" i="23" s="1"/>
  <c r="B119" i="41" l="1"/>
  <c r="G118" i="40"/>
  <c r="I118" i="40" s="1"/>
  <c r="J118" i="40" s="1"/>
  <c r="D119" i="40"/>
  <c r="F122" i="39"/>
  <c r="H122" i="39" s="1"/>
  <c r="B122" i="39"/>
  <c r="E119" i="41"/>
  <c r="F119" i="41" s="1"/>
  <c r="I116" i="13"/>
  <c r="H116" i="13"/>
  <c r="E117" i="13"/>
  <c r="F117" i="13" s="1"/>
  <c r="B117" i="13"/>
  <c r="J120" i="28"/>
  <c r="D37" i="13"/>
  <c r="E37" i="13" s="1"/>
  <c r="H49" i="20"/>
  <c r="G49" i="20"/>
  <c r="E50" i="20"/>
  <c r="F50" i="20" s="1"/>
  <c r="B50" i="20"/>
  <c r="I48" i="20"/>
  <c r="G36" i="13"/>
  <c r="I36" i="13" s="1"/>
  <c r="J121" i="29"/>
  <c r="E124" i="4"/>
  <c r="F124" i="4" s="1"/>
  <c r="H123" i="4"/>
  <c r="I123" i="4"/>
  <c r="I122" i="18"/>
  <c r="H122" i="18"/>
  <c r="E117" i="31"/>
  <c r="F117" i="31" s="1"/>
  <c r="D118" i="31" s="1"/>
  <c r="J118" i="25"/>
  <c r="E123" i="18"/>
  <c r="F123" i="18" s="1"/>
  <c r="B123" i="18"/>
  <c r="B116" i="37"/>
  <c r="F116" i="37"/>
  <c r="E117" i="35"/>
  <c r="F117" i="35" s="1"/>
  <c r="B117" i="35"/>
  <c r="I115" i="37"/>
  <c r="H115" i="37"/>
  <c r="I116" i="35"/>
  <c r="H116" i="35"/>
  <c r="E120" i="26"/>
  <c r="F120" i="26" s="1"/>
  <c r="B120" i="26"/>
  <c r="I119" i="26"/>
  <c r="H119" i="26"/>
  <c r="I116" i="31"/>
  <c r="H116" i="31"/>
  <c r="D120" i="25"/>
  <c r="G119" i="25"/>
  <c r="J122" i="19"/>
  <c r="H120" i="24"/>
  <c r="I120" i="24"/>
  <c r="B117" i="34"/>
  <c r="F117" i="38"/>
  <c r="B117" i="38"/>
  <c r="F121" i="24"/>
  <c r="B121" i="24"/>
  <c r="B121" i="27"/>
  <c r="H116" i="38"/>
  <c r="I116" i="38"/>
  <c r="J124" i="23"/>
  <c r="G123" i="19"/>
  <c r="D124" i="19"/>
  <c r="E121" i="27"/>
  <c r="F121" i="27" s="1"/>
  <c r="E117" i="34"/>
  <c r="F117" i="34" s="1"/>
  <c r="G122" i="29"/>
  <c r="D123" i="29"/>
  <c r="E123" i="29" s="1"/>
  <c r="H120" i="21"/>
  <c r="I120" i="21"/>
  <c r="J123" i="3"/>
  <c r="J119" i="22"/>
  <c r="I120" i="27"/>
  <c r="H120" i="27"/>
  <c r="H116" i="34"/>
  <c r="I116" i="34"/>
  <c r="B121" i="21"/>
  <c r="F121" i="21"/>
  <c r="G125" i="23"/>
  <c r="D126" i="23"/>
  <c r="G117" i="20"/>
  <c r="D118" i="20"/>
  <c r="E118" i="20" s="1"/>
  <c r="G120" i="22"/>
  <c r="D121" i="22"/>
  <c r="E121" i="22" s="1"/>
  <c r="J116" i="20"/>
  <c r="G124" i="3"/>
  <c r="D125" i="3"/>
  <c r="E125" i="3" s="1"/>
  <c r="D120" i="41" l="1"/>
  <c r="E120" i="41" s="1"/>
  <c r="F120" i="41" s="1"/>
  <c r="G119" i="41"/>
  <c r="I119" i="41" s="1"/>
  <c r="H119" i="41"/>
  <c r="G122" i="39"/>
  <c r="I122" i="39" s="1"/>
  <c r="J122" i="39" s="1"/>
  <c r="D123" i="39"/>
  <c r="E123" i="39" s="1"/>
  <c r="E119" i="40"/>
  <c r="F119" i="40" s="1"/>
  <c r="B119" i="40"/>
  <c r="G117" i="13"/>
  <c r="D118" i="13"/>
  <c r="B118" i="13" s="1"/>
  <c r="G117" i="31"/>
  <c r="I117" i="31" s="1"/>
  <c r="J116" i="13"/>
  <c r="B37" i="13"/>
  <c r="F37" i="13"/>
  <c r="B51" i="20"/>
  <c r="H50" i="20"/>
  <c r="G50" i="20"/>
  <c r="E51" i="20"/>
  <c r="F51" i="20" s="1"/>
  <c r="J123" i="4"/>
  <c r="I49" i="20"/>
  <c r="J116" i="38"/>
  <c r="J120" i="24"/>
  <c r="J122" i="18"/>
  <c r="G123" i="18"/>
  <c r="D124" i="18"/>
  <c r="E124" i="18" s="1"/>
  <c r="J116" i="35"/>
  <c r="D125" i="4"/>
  <c r="G124" i="4"/>
  <c r="D118" i="35"/>
  <c r="E118" i="35" s="1"/>
  <c r="G117" i="35"/>
  <c r="B122" i="28"/>
  <c r="J119" i="26"/>
  <c r="J115" i="37"/>
  <c r="H119" i="25"/>
  <c r="I119" i="25"/>
  <c r="E118" i="31"/>
  <c r="F118" i="31" s="1"/>
  <c r="B118" i="31"/>
  <c r="E120" i="25"/>
  <c r="F120" i="25" s="1"/>
  <c r="B120" i="25"/>
  <c r="G120" i="26"/>
  <c r="D121" i="26"/>
  <c r="B121" i="26" s="1"/>
  <c r="J120" i="21"/>
  <c r="G116" i="37"/>
  <c r="D117" i="37"/>
  <c r="J116" i="31"/>
  <c r="J116" i="34"/>
  <c r="G121" i="27"/>
  <c r="D122" i="27"/>
  <c r="E122" i="27" s="1"/>
  <c r="G117" i="38"/>
  <c r="D118" i="38"/>
  <c r="E118" i="38" s="1"/>
  <c r="J120" i="27"/>
  <c r="F123" i="29"/>
  <c r="B124" i="19"/>
  <c r="G117" i="34"/>
  <c r="D118" i="34"/>
  <c r="E118" i="34" s="1"/>
  <c r="H122" i="29"/>
  <c r="I122" i="29"/>
  <c r="H123" i="19"/>
  <c r="I123" i="19"/>
  <c r="D122" i="24"/>
  <c r="E122" i="24" s="1"/>
  <c r="G121" i="24"/>
  <c r="D122" i="21"/>
  <c r="E122" i="21" s="1"/>
  <c r="G121" i="21"/>
  <c r="E124" i="19"/>
  <c r="F124" i="19" s="1"/>
  <c r="F121" i="22"/>
  <c r="B121" i="22"/>
  <c r="B125" i="3"/>
  <c r="F125" i="3"/>
  <c r="I120" i="22"/>
  <c r="H120" i="22"/>
  <c r="H125" i="23"/>
  <c r="I125" i="23"/>
  <c r="F118" i="20"/>
  <c r="B118" i="20"/>
  <c r="I117" i="20"/>
  <c r="H117" i="20"/>
  <c r="I124" i="3"/>
  <c r="H124" i="3"/>
  <c r="E126" i="23"/>
  <c r="F126" i="23" s="1"/>
  <c r="F123" i="39" l="1"/>
  <c r="G119" i="40"/>
  <c r="I119" i="40" s="1"/>
  <c r="D120" i="40"/>
  <c r="E120" i="40" s="1"/>
  <c r="H119" i="40"/>
  <c r="D121" i="41"/>
  <c r="E121" i="41" s="1"/>
  <c r="G120" i="41"/>
  <c r="I120" i="41" s="1"/>
  <c r="H123" i="39"/>
  <c r="B123" i="39"/>
  <c r="J119" i="41"/>
  <c r="G123" i="39"/>
  <c r="I123" i="39" s="1"/>
  <c r="D124" i="39"/>
  <c r="E124" i="39" s="1"/>
  <c r="H120" i="41"/>
  <c r="B120" i="41"/>
  <c r="H117" i="31"/>
  <c r="J117" i="31" s="1"/>
  <c r="E118" i="13"/>
  <c r="F118" i="13" s="1"/>
  <c r="G118" i="13" s="1"/>
  <c r="H118" i="13" s="1"/>
  <c r="J119" i="25"/>
  <c r="I117" i="13"/>
  <c r="H117" i="13"/>
  <c r="D38" i="13"/>
  <c r="E38" i="13" s="1"/>
  <c r="H37" i="13"/>
  <c r="G37" i="13"/>
  <c r="H51" i="20"/>
  <c r="G51" i="20"/>
  <c r="E52" i="20"/>
  <c r="F52" i="20" s="1"/>
  <c r="B52" i="20"/>
  <c r="I50" i="20"/>
  <c r="E125" i="4"/>
  <c r="F125" i="4" s="1"/>
  <c r="B125" i="4"/>
  <c r="J125" i="23"/>
  <c r="H123" i="18"/>
  <c r="I123" i="18"/>
  <c r="F124" i="18"/>
  <c r="B124" i="18"/>
  <c r="J121" i="28"/>
  <c r="H124" i="4"/>
  <c r="I124" i="4"/>
  <c r="D121" i="25"/>
  <c r="E121" i="25" s="1"/>
  <c r="G120" i="25"/>
  <c r="H116" i="37"/>
  <c r="I116" i="37"/>
  <c r="G118" i="31"/>
  <c r="D119" i="31"/>
  <c r="E121" i="26"/>
  <c r="F121" i="26" s="1"/>
  <c r="I120" i="26"/>
  <c r="H120" i="26"/>
  <c r="H117" i="35"/>
  <c r="I117" i="35"/>
  <c r="E117" i="37"/>
  <c r="F117" i="37" s="1"/>
  <c r="B117" i="37"/>
  <c r="F118" i="35"/>
  <c r="B118" i="35"/>
  <c r="G124" i="19"/>
  <c r="D125" i="19"/>
  <c r="F118" i="34"/>
  <c r="B118" i="34"/>
  <c r="F118" i="38"/>
  <c r="B118" i="38"/>
  <c r="H121" i="24"/>
  <c r="I121" i="24"/>
  <c r="I117" i="34"/>
  <c r="H117" i="34"/>
  <c r="H117" i="38"/>
  <c r="I117" i="38"/>
  <c r="H121" i="21"/>
  <c r="I121" i="21"/>
  <c r="F122" i="24"/>
  <c r="B122" i="24"/>
  <c r="F122" i="21"/>
  <c r="B122" i="21"/>
  <c r="J123" i="19"/>
  <c r="B122" i="27"/>
  <c r="F122" i="27"/>
  <c r="G123" i="29"/>
  <c r="D124" i="29"/>
  <c r="J122" i="29"/>
  <c r="H121" i="27"/>
  <c r="I121" i="27"/>
  <c r="J120" i="22"/>
  <c r="J117" i="20"/>
  <c r="D122" i="22"/>
  <c r="G121" i="22"/>
  <c r="D126" i="3"/>
  <c r="E126" i="3" s="1"/>
  <c r="G125" i="3"/>
  <c r="J124" i="3"/>
  <c r="D127" i="23"/>
  <c r="G126" i="23"/>
  <c r="G118" i="20"/>
  <c r="D119" i="20"/>
  <c r="E119" i="20" s="1"/>
  <c r="J123" i="39" l="1"/>
  <c r="J120" i="41"/>
  <c r="B120" i="40"/>
  <c r="F120" i="40"/>
  <c r="B124" i="39"/>
  <c r="F124" i="39"/>
  <c r="H124" i="39" s="1"/>
  <c r="F121" i="41"/>
  <c r="H121" i="41" s="1"/>
  <c r="B121" i="41"/>
  <c r="J119" i="40"/>
  <c r="I118" i="13"/>
  <c r="J118" i="13" s="1"/>
  <c r="D119" i="13"/>
  <c r="J121" i="27"/>
  <c r="J123" i="18"/>
  <c r="J116" i="37"/>
  <c r="J117" i="13"/>
  <c r="J124" i="4"/>
  <c r="E53" i="20"/>
  <c r="F53" i="20" s="1"/>
  <c r="G52" i="20"/>
  <c r="H52" i="20"/>
  <c r="B53" i="20"/>
  <c r="I51" i="20"/>
  <c r="I37" i="13"/>
  <c r="F38" i="13"/>
  <c r="H38" i="13" s="1"/>
  <c r="B38" i="13"/>
  <c r="G124" i="18"/>
  <c r="D125" i="18"/>
  <c r="B125" i="18" s="1"/>
  <c r="G125" i="4"/>
  <c r="D126" i="4"/>
  <c r="J117" i="35"/>
  <c r="D118" i="37"/>
  <c r="G117" i="37"/>
  <c r="G121" i="26"/>
  <c r="D122" i="26"/>
  <c r="E119" i="31"/>
  <c r="F119" i="31" s="1"/>
  <c r="B119" i="31"/>
  <c r="I118" i="31"/>
  <c r="H118" i="31"/>
  <c r="B123" i="28"/>
  <c r="G118" i="35"/>
  <c r="D119" i="35"/>
  <c r="E119" i="35" s="1"/>
  <c r="H120" i="25"/>
  <c r="I120" i="25"/>
  <c r="J117" i="38"/>
  <c r="J120" i="26"/>
  <c r="B121" i="25"/>
  <c r="F121" i="25"/>
  <c r="J121" i="21"/>
  <c r="J121" i="24"/>
  <c r="D119" i="38"/>
  <c r="E119" i="38" s="1"/>
  <c r="G118" i="38"/>
  <c r="B125" i="19"/>
  <c r="G122" i="24"/>
  <c r="D123" i="24"/>
  <c r="J117" i="34"/>
  <c r="D119" i="34"/>
  <c r="E119" i="34" s="1"/>
  <c r="G118" i="34"/>
  <c r="H124" i="19"/>
  <c r="I124" i="19"/>
  <c r="E125" i="19"/>
  <c r="F125" i="19" s="1"/>
  <c r="H123" i="29"/>
  <c r="I123" i="29"/>
  <c r="G122" i="27"/>
  <c r="D123" i="27"/>
  <c r="G122" i="21"/>
  <c r="D123" i="21"/>
  <c r="E123" i="21" s="1"/>
  <c r="E124" i="29"/>
  <c r="F124" i="29" s="1"/>
  <c r="H125" i="3"/>
  <c r="I125" i="3"/>
  <c r="I121" i="22"/>
  <c r="H121" i="22"/>
  <c r="B126" i="3"/>
  <c r="F126" i="3"/>
  <c r="B122" i="22"/>
  <c r="B119" i="20"/>
  <c r="F119" i="20"/>
  <c r="H118" i="20"/>
  <c r="I118" i="20"/>
  <c r="H126" i="23"/>
  <c r="I126" i="23"/>
  <c r="E127" i="23"/>
  <c r="F127" i="23" s="1"/>
  <c r="E122" i="22"/>
  <c r="F122" i="22" s="1"/>
  <c r="D121" i="40" l="1"/>
  <c r="G120" i="40"/>
  <c r="I120" i="40" s="1"/>
  <c r="E121" i="40"/>
  <c r="G124" i="39"/>
  <c r="I124" i="39" s="1"/>
  <c r="J124" i="39" s="1"/>
  <c r="D125" i="39"/>
  <c r="E125" i="39" s="1"/>
  <c r="D122" i="41"/>
  <c r="G121" i="41"/>
  <c r="I121" i="41" s="1"/>
  <c r="J121" i="41" s="1"/>
  <c r="H120" i="40"/>
  <c r="E119" i="13"/>
  <c r="F119" i="13" s="1"/>
  <c r="B119" i="13"/>
  <c r="J118" i="31"/>
  <c r="J124" i="19"/>
  <c r="J126" i="23"/>
  <c r="D39" i="13"/>
  <c r="B54" i="20"/>
  <c r="G53" i="20"/>
  <c r="H53" i="20"/>
  <c r="E54" i="20"/>
  <c r="F54" i="20" s="1"/>
  <c r="G38" i="13"/>
  <c r="I38" i="13" s="1"/>
  <c r="I52" i="20"/>
  <c r="J123" i="29"/>
  <c r="E126" i="4"/>
  <c r="F126" i="4" s="1"/>
  <c r="B126" i="4"/>
  <c r="I125" i="4"/>
  <c r="H125" i="4"/>
  <c r="E125" i="18"/>
  <c r="F125" i="18" s="1"/>
  <c r="J120" i="25"/>
  <c r="I124" i="18"/>
  <c r="H124" i="18"/>
  <c r="J122" i="28"/>
  <c r="D122" i="25"/>
  <c r="E122" i="25" s="1"/>
  <c r="G121" i="25"/>
  <c r="F119" i="35"/>
  <c r="B119" i="35"/>
  <c r="G119" i="31"/>
  <c r="D120" i="31"/>
  <c r="B120" i="31" s="1"/>
  <c r="H118" i="35"/>
  <c r="I118" i="35"/>
  <c r="E122" i="26"/>
  <c r="F122" i="26" s="1"/>
  <c r="B122" i="26"/>
  <c r="H121" i="26"/>
  <c r="I121" i="26"/>
  <c r="H117" i="37"/>
  <c r="I117" i="37"/>
  <c r="E118" i="37"/>
  <c r="F118" i="37" s="1"/>
  <c r="B118" i="37"/>
  <c r="H122" i="27"/>
  <c r="I122" i="27"/>
  <c r="I122" i="24"/>
  <c r="H122" i="24"/>
  <c r="G124" i="29"/>
  <c r="D125" i="29"/>
  <c r="D126" i="19"/>
  <c r="E126" i="19" s="1"/>
  <c r="G125" i="19"/>
  <c r="F119" i="38"/>
  <c r="B119" i="38"/>
  <c r="B123" i="27"/>
  <c r="H118" i="38"/>
  <c r="I118" i="38"/>
  <c r="I118" i="34"/>
  <c r="H118" i="34"/>
  <c r="F119" i="34"/>
  <c r="B119" i="34"/>
  <c r="H122" i="21"/>
  <c r="I122" i="21"/>
  <c r="B123" i="24"/>
  <c r="J118" i="20"/>
  <c r="J125" i="3"/>
  <c r="B123" i="21"/>
  <c r="F123" i="21"/>
  <c r="E123" i="27"/>
  <c r="F123" i="27" s="1"/>
  <c r="E123" i="24"/>
  <c r="F123" i="24" s="1"/>
  <c r="G122" i="22"/>
  <c r="D123" i="22"/>
  <c r="D128" i="23"/>
  <c r="G127" i="23"/>
  <c r="D120" i="20"/>
  <c r="E120" i="20" s="1"/>
  <c r="G119" i="20"/>
  <c r="D127" i="3"/>
  <c r="E127" i="3" s="1"/>
  <c r="G126" i="3"/>
  <c r="J121" i="22"/>
  <c r="F125" i="39" l="1"/>
  <c r="B122" i="41"/>
  <c r="G125" i="39"/>
  <c r="I125" i="39" s="1"/>
  <c r="D126" i="39"/>
  <c r="E126" i="39" s="1"/>
  <c r="J120" i="40"/>
  <c r="E122" i="41"/>
  <c r="F122" i="41" s="1"/>
  <c r="H125" i="39"/>
  <c r="B125" i="39"/>
  <c r="F121" i="40"/>
  <c r="B121" i="40"/>
  <c r="H121" i="40"/>
  <c r="I53" i="20"/>
  <c r="D120" i="13"/>
  <c r="G119" i="13"/>
  <c r="J118" i="35"/>
  <c r="B55" i="20"/>
  <c r="G54" i="20"/>
  <c r="E55" i="20"/>
  <c r="F55" i="20" s="1"/>
  <c r="H54" i="20"/>
  <c r="B39" i="13"/>
  <c r="J121" i="26"/>
  <c r="E39" i="13"/>
  <c r="F39" i="13" s="1"/>
  <c r="J122" i="27"/>
  <c r="D126" i="18"/>
  <c r="E126" i="18" s="1"/>
  <c r="G125" i="18"/>
  <c r="J118" i="38"/>
  <c r="J117" i="37"/>
  <c r="J125" i="4"/>
  <c r="G126" i="4"/>
  <c r="D127" i="4"/>
  <c r="B127" i="4" s="1"/>
  <c r="J124" i="18"/>
  <c r="G118" i="37"/>
  <c r="D119" i="37"/>
  <c r="E119" i="37" s="1"/>
  <c r="H119" i="31"/>
  <c r="I119" i="31"/>
  <c r="B124" i="28"/>
  <c r="E120" i="31"/>
  <c r="F120" i="31" s="1"/>
  <c r="G122" i="26"/>
  <c r="D123" i="26"/>
  <c r="B123" i="26" s="1"/>
  <c r="D120" i="35"/>
  <c r="B120" i="35" s="1"/>
  <c r="G119" i="35"/>
  <c r="I121" i="25"/>
  <c r="H121" i="25"/>
  <c r="B122" i="25"/>
  <c r="F122" i="25"/>
  <c r="J122" i="21"/>
  <c r="D124" i="24"/>
  <c r="E124" i="24" s="1"/>
  <c r="G123" i="24"/>
  <c r="G123" i="27"/>
  <c r="D124" i="27"/>
  <c r="E124" i="27" s="1"/>
  <c r="I124" i="29"/>
  <c r="H124" i="29"/>
  <c r="D120" i="38"/>
  <c r="G119" i="38"/>
  <c r="H125" i="19"/>
  <c r="I125" i="19"/>
  <c r="J122" i="24"/>
  <c r="J118" i="34"/>
  <c r="F126" i="19"/>
  <c r="B126" i="19"/>
  <c r="D124" i="21"/>
  <c r="E124" i="21" s="1"/>
  <c r="G123" i="21"/>
  <c r="D120" i="34"/>
  <c r="E120" i="34" s="1"/>
  <c r="G119" i="34"/>
  <c r="E125" i="29"/>
  <c r="F125" i="29" s="1"/>
  <c r="H119" i="20"/>
  <c r="I119" i="20"/>
  <c r="B123" i="22"/>
  <c r="F120" i="20"/>
  <c r="B120" i="20"/>
  <c r="H126" i="3"/>
  <c r="I126" i="3"/>
  <c r="I122" i="22"/>
  <c r="H122" i="22"/>
  <c r="E128" i="23"/>
  <c r="F128" i="23" s="1"/>
  <c r="B127" i="3"/>
  <c r="F127" i="3"/>
  <c r="I127" i="23"/>
  <c r="H127" i="23"/>
  <c r="E123" i="22"/>
  <c r="F123" i="22" s="1"/>
  <c r="F126" i="39" l="1"/>
  <c r="H126" i="39" s="1"/>
  <c r="B126" i="39"/>
  <c r="G122" i="41"/>
  <c r="I122" i="41" s="1"/>
  <c r="D123" i="41"/>
  <c r="E123" i="41" s="1"/>
  <c r="F123" i="41" s="1"/>
  <c r="J125" i="39"/>
  <c r="G121" i="40"/>
  <c r="I121" i="40" s="1"/>
  <c r="J121" i="40" s="1"/>
  <c r="D122" i="40"/>
  <c r="H122" i="41"/>
  <c r="H119" i="13"/>
  <c r="I119" i="13"/>
  <c r="E120" i="13"/>
  <c r="F120" i="13" s="1"/>
  <c r="B120" i="13"/>
  <c r="D40" i="13"/>
  <c r="E40" i="13" s="1"/>
  <c r="G39" i="13"/>
  <c r="H39" i="13"/>
  <c r="B56" i="20"/>
  <c r="G55" i="20"/>
  <c r="E56" i="20"/>
  <c r="F56" i="20" s="1"/>
  <c r="H55" i="20"/>
  <c r="J119" i="20"/>
  <c r="I54" i="20"/>
  <c r="E123" i="26"/>
  <c r="F123" i="26" s="1"/>
  <c r="D124" i="26" s="1"/>
  <c r="I126" i="4"/>
  <c r="H126" i="4"/>
  <c r="E120" i="35"/>
  <c r="F120" i="35" s="1"/>
  <c r="D121" i="35" s="1"/>
  <c r="H125" i="18"/>
  <c r="I125" i="18"/>
  <c r="J119" i="31"/>
  <c r="E127" i="4"/>
  <c r="F127" i="4" s="1"/>
  <c r="B126" i="18"/>
  <c r="F126" i="18"/>
  <c r="H119" i="35"/>
  <c r="I119" i="35"/>
  <c r="G122" i="25"/>
  <c r="D123" i="25"/>
  <c r="J123" i="28"/>
  <c r="I122" i="26"/>
  <c r="H122" i="26"/>
  <c r="D121" i="31"/>
  <c r="E121" i="31" s="1"/>
  <c r="G120" i="31"/>
  <c r="B119" i="37"/>
  <c r="F119" i="37"/>
  <c r="J121" i="25"/>
  <c r="H118" i="37"/>
  <c r="I118" i="37"/>
  <c r="H119" i="34"/>
  <c r="I119" i="34"/>
  <c r="G125" i="29"/>
  <c r="D126" i="29"/>
  <c r="E126" i="29" s="1"/>
  <c r="B120" i="34"/>
  <c r="F120" i="34"/>
  <c r="J125" i="19"/>
  <c r="B124" i="27"/>
  <c r="F124" i="27"/>
  <c r="J122" i="22"/>
  <c r="H119" i="38"/>
  <c r="I119" i="38"/>
  <c r="I123" i="27"/>
  <c r="H123" i="27"/>
  <c r="G126" i="19"/>
  <c r="D127" i="19"/>
  <c r="E127" i="19" s="1"/>
  <c r="B120" i="38"/>
  <c r="J127" i="23"/>
  <c r="I123" i="21"/>
  <c r="H123" i="21"/>
  <c r="E120" i="38"/>
  <c r="F120" i="38" s="1"/>
  <c r="J124" i="29"/>
  <c r="I123" i="24"/>
  <c r="H123" i="24"/>
  <c r="J126" i="3"/>
  <c r="F124" i="21"/>
  <c r="B124" i="21"/>
  <c r="F124" i="24"/>
  <c r="B124" i="24"/>
  <c r="D129" i="23"/>
  <c r="E129" i="23" s="1"/>
  <c r="G128" i="23"/>
  <c r="G123" i="22"/>
  <c r="D124" i="22"/>
  <c r="E124" i="22" s="1"/>
  <c r="G127" i="3"/>
  <c r="D128" i="3"/>
  <c r="E128" i="3" s="1"/>
  <c r="G120" i="20"/>
  <c r="D121" i="20"/>
  <c r="J122" i="41" l="1"/>
  <c r="G123" i="41"/>
  <c r="I123" i="41" s="1"/>
  <c r="D124" i="41"/>
  <c r="E124" i="41" s="1"/>
  <c r="F124" i="41" s="1"/>
  <c r="E122" i="40"/>
  <c r="F122" i="40" s="1"/>
  <c r="B122" i="40"/>
  <c r="B123" i="41"/>
  <c r="H123" i="41"/>
  <c r="D127" i="39"/>
  <c r="E127" i="39" s="1"/>
  <c r="G126" i="39"/>
  <c r="I126" i="39" s="1"/>
  <c r="J126" i="39" s="1"/>
  <c r="J119" i="13"/>
  <c r="D121" i="13"/>
  <c r="G120" i="13"/>
  <c r="G120" i="35"/>
  <c r="H120" i="35" s="1"/>
  <c r="I55" i="20"/>
  <c r="I39" i="13"/>
  <c r="J125" i="18"/>
  <c r="G56" i="20"/>
  <c r="B57" i="20"/>
  <c r="E57" i="20"/>
  <c r="F57" i="20" s="1"/>
  <c r="H56" i="20"/>
  <c r="J126" i="4"/>
  <c r="G123" i="26"/>
  <c r="I123" i="26" s="1"/>
  <c r="B40" i="13"/>
  <c r="F40" i="13"/>
  <c r="G40" i="13" s="1"/>
  <c r="G127" i="4"/>
  <c r="D128" i="4"/>
  <c r="B128" i="4" s="1"/>
  <c r="E121" i="35"/>
  <c r="F121" i="35" s="1"/>
  <c r="J119" i="34"/>
  <c r="D127" i="18"/>
  <c r="E127" i="18" s="1"/>
  <c r="G126" i="18"/>
  <c r="J119" i="35"/>
  <c r="J122" i="26"/>
  <c r="D120" i="37"/>
  <c r="G119" i="37"/>
  <c r="B123" i="25"/>
  <c r="B125" i="28"/>
  <c r="I122" i="25"/>
  <c r="H122" i="25"/>
  <c r="I120" i="31"/>
  <c r="H120" i="31"/>
  <c r="E123" i="25"/>
  <c r="F123" i="25" s="1"/>
  <c r="B124" i="26"/>
  <c r="E124" i="26"/>
  <c r="F124" i="26" s="1"/>
  <c r="J118" i="37"/>
  <c r="F121" i="31"/>
  <c r="B121" i="31"/>
  <c r="B121" i="35"/>
  <c r="J123" i="21"/>
  <c r="J123" i="27"/>
  <c r="F126" i="29"/>
  <c r="I125" i="29"/>
  <c r="H125" i="29"/>
  <c r="H126" i="19"/>
  <c r="I126" i="19"/>
  <c r="D125" i="21"/>
  <c r="E125" i="21" s="1"/>
  <c r="G124" i="21"/>
  <c r="J119" i="38"/>
  <c r="G120" i="38"/>
  <c r="D121" i="38"/>
  <c r="D125" i="27"/>
  <c r="E125" i="27" s="1"/>
  <c r="G124" i="27"/>
  <c r="G120" i="34"/>
  <c r="D121" i="34"/>
  <c r="E121" i="34"/>
  <c r="J123" i="24"/>
  <c r="D125" i="24"/>
  <c r="E125" i="24" s="1"/>
  <c r="G124" i="24"/>
  <c r="B127" i="19"/>
  <c r="F127" i="19"/>
  <c r="I123" i="22"/>
  <c r="H123" i="22"/>
  <c r="F129" i="23"/>
  <c r="H128" i="23"/>
  <c r="I128" i="23"/>
  <c r="B121" i="20"/>
  <c r="I120" i="20"/>
  <c r="H120" i="20"/>
  <c r="H127" i="3"/>
  <c r="I127" i="3"/>
  <c r="E121" i="20"/>
  <c r="F121" i="20" s="1"/>
  <c r="B128" i="3"/>
  <c r="F128" i="3"/>
  <c r="B124" i="22"/>
  <c r="F124" i="22"/>
  <c r="F127" i="39" l="1"/>
  <c r="G122" i="40"/>
  <c r="I122" i="40" s="1"/>
  <c r="D123" i="40"/>
  <c r="E123" i="40" s="1"/>
  <c r="H122" i="40"/>
  <c r="D125" i="41"/>
  <c r="G124" i="41"/>
  <c r="I124" i="41" s="1"/>
  <c r="E125" i="41"/>
  <c r="H127" i="39"/>
  <c r="B127" i="39"/>
  <c r="H124" i="41"/>
  <c r="B124" i="41"/>
  <c r="G127" i="39"/>
  <c r="I127" i="39" s="1"/>
  <c r="D128" i="39"/>
  <c r="E128" i="39" s="1"/>
  <c r="J123" i="41"/>
  <c r="I120" i="35"/>
  <c r="J120" i="35" s="1"/>
  <c r="H120" i="13"/>
  <c r="I120" i="13"/>
  <c r="E121" i="13"/>
  <c r="F121" i="13" s="1"/>
  <c r="B121" i="13"/>
  <c r="H123" i="26"/>
  <c r="J123" i="26" s="1"/>
  <c r="H40" i="13"/>
  <c r="I40" i="13" s="1"/>
  <c r="E128" i="4"/>
  <c r="F128" i="4" s="1"/>
  <c r="G128" i="4" s="1"/>
  <c r="I56" i="20"/>
  <c r="E58" i="20"/>
  <c r="F58" i="20" s="1"/>
  <c r="B58" i="20"/>
  <c r="H57" i="20"/>
  <c r="G57" i="20"/>
  <c r="D41" i="13"/>
  <c r="B127" i="18"/>
  <c r="F127" i="18"/>
  <c r="J124" i="28"/>
  <c r="H126" i="18"/>
  <c r="I126" i="18"/>
  <c r="J126" i="19"/>
  <c r="H127" i="4"/>
  <c r="I127" i="4"/>
  <c r="G123" i="25"/>
  <c r="D124" i="25"/>
  <c r="G121" i="31"/>
  <c r="D122" i="31"/>
  <c r="J120" i="31"/>
  <c r="I119" i="37"/>
  <c r="H119" i="37"/>
  <c r="E120" i="37"/>
  <c r="F120" i="37" s="1"/>
  <c r="B120" i="37"/>
  <c r="G121" i="35"/>
  <c r="D122" i="35"/>
  <c r="J122" i="25"/>
  <c r="J127" i="3"/>
  <c r="J128" i="23"/>
  <c r="G124" i="26"/>
  <c r="D125" i="26"/>
  <c r="H124" i="24"/>
  <c r="I124" i="24"/>
  <c r="F121" i="34"/>
  <c r="B121" i="34"/>
  <c r="H120" i="38"/>
  <c r="I120" i="38"/>
  <c r="B121" i="38"/>
  <c r="B125" i="24"/>
  <c r="F125" i="24"/>
  <c r="H120" i="34"/>
  <c r="I120" i="34"/>
  <c r="E121" i="38"/>
  <c r="F121" i="38" s="1"/>
  <c r="I124" i="21"/>
  <c r="H124" i="21"/>
  <c r="F125" i="21"/>
  <c r="B125" i="21"/>
  <c r="J125" i="29"/>
  <c r="D128" i="19"/>
  <c r="E128" i="19" s="1"/>
  <c r="G127" i="19"/>
  <c r="H124" i="27"/>
  <c r="I124" i="27"/>
  <c r="F125" i="27"/>
  <c r="B125" i="27"/>
  <c r="D127" i="29"/>
  <c r="E127" i="29" s="1"/>
  <c r="G126" i="29"/>
  <c r="D122" i="20"/>
  <c r="E122" i="20" s="1"/>
  <c r="G121" i="20"/>
  <c r="D125" i="22"/>
  <c r="E125" i="22" s="1"/>
  <c r="G124" i="22"/>
  <c r="D129" i="3"/>
  <c r="G128" i="3"/>
  <c r="D130" i="23"/>
  <c r="G129" i="23"/>
  <c r="J120" i="20"/>
  <c r="J123" i="22"/>
  <c r="F128" i="39" l="1"/>
  <c r="J127" i="39"/>
  <c r="G128" i="39"/>
  <c r="I128" i="39" s="1"/>
  <c r="D129" i="39"/>
  <c r="E129" i="39" s="1"/>
  <c r="J124" i="41"/>
  <c r="F123" i="40"/>
  <c r="H123" i="40"/>
  <c r="B123" i="40"/>
  <c r="H128" i="39"/>
  <c r="B128" i="39"/>
  <c r="F125" i="41"/>
  <c r="B125" i="41"/>
  <c r="J122" i="40"/>
  <c r="J120" i="13"/>
  <c r="G121" i="13"/>
  <c r="D122" i="13"/>
  <c r="D129" i="4"/>
  <c r="B129" i="4" s="1"/>
  <c r="J124" i="27"/>
  <c r="I57" i="20"/>
  <c r="B41" i="13"/>
  <c r="E41" i="13"/>
  <c r="F41" i="13" s="1"/>
  <c r="J126" i="18"/>
  <c r="G58" i="20"/>
  <c r="H58" i="20"/>
  <c r="E59" i="20"/>
  <c r="F59" i="20" s="1"/>
  <c r="B59" i="20"/>
  <c r="J120" i="34"/>
  <c r="J120" i="38"/>
  <c r="H128" i="4"/>
  <c r="I128" i="4"/>
  <c r="J127" i="4"/>
  <c r="G127" i="18"/>
  <c r="D128" i="18"/>
  <c r="J124" i="24"/>
  <c r="E122" i="35"/>
  <c r="F122" i="35" s="1"/>
  <c r="B122" i="35"/>
  <c r="E122" i="31"/>
  <c r="F122" i="31" s="1"/>
  <c r="B122" i="31"/>
  <c r="H121" i="35"/>
  <c r="I121" i="35"/>
  <c r="I121" i="31"/>
  <c r="H121" i="31"/>
  <c r="B124" i="25"/>
  <c r="E125" i="26"/>
  <c r="F125" i="26" s="1"/>
  <c r="B125" i="26"/>
  <c r="G120" i="37"/>
  <c r="D121" i="37"/>
  <c r="B121" i="37" s="1"/>
  <c r="I123" i="25"/>
  <c r="H123" i="25"/>
  <c r="I124" i="26"/>
  <c r="H124" i="26"/>
  <c r="E124" i="25"/>
  <c r="F124" i="25" s="1"/>
  <c r="J119" i="37"/>
  <c r="B126" i="28"/>
  <c r="H127" i="19"/>
  <c r="I127" i="19"/>
  <c r="J124" i="21"/>
  <c r="B128" i="19"/>
  <c r="F128" i="19"/>
  <c r="G121" i="38"/>
  <c r="D122" i="38"/>
  <c r="E122" i="38" s="1"/>
  <c r="F127" i="29"/>
  <c r="D126" i="24"/>
  <c r="G125" i="24"/>
  <c r="G125" i="27"/>
  <c r="D126" i="27"/>
  <c r="E126" i="27" s="1"/>
  <c r="H126" i="29"/>
  <c r="I126" i="29"/>
  <c r="D126" i="21"/>
  <c r="G125" i="21"/>
  <c r="D122" i="34"/>
  <c r="E122" i="34" s="1"/>
  <c r="G121" i="34"/>
  <c r="H128" i="3"/>
  <c r="I128" i="3"/>
  <c r="B129" i="3"/>
  <c r="H124" i="22"/>
  <c r="I124" i="22"/>
  <c r="E129" i="3"/>
  <c r="F129" i="3" s="1"/>
  <c r="E130" i="23"/>
  <c r="F130" i="23" s="1"/>
  <c r="F125" i="22"/>
  <c r="B125" i="22"/>
  <c r="H121" i="20"/>
  <c r="I121" i="20"/>
  <c r="H129" i="23"/>
  <c r="I129" i="23"/>
  <c r="F122" i="20"/>
  <c r="B122" i="20"/>
  <c r="E129" i="4" l="1"/>
  <c r="F129" i="4" s="1"/>
  <c r="D130" i="4" s="1"/>
  <c r="J128" i="39"/>
  <c r="F129" i="39"/>
  <c r="D130" i="39" s="1"/>
  <c r="G129" i="39"/>
  <c r="I129" i="39" s="1"/>
  <c r="G125" i="41"/>
  <c r="I125" i="41" s="1"/>
  <c r="D126" i="41"/>
  <c r="E126" i="41" s="1"/>
  <c r="F126" i="41" s="1"/>
  <c r="B129" i="39"/>
  <c r="D124" i="40"/>
  <c r="E124" i="40" s="1"/>
  <c r="G123" i="40"/>
  <c r="I123" i="40" s="1"/>
  <c r="J123" i="40" s="1"/>
  <c r="H125" i="41"/>
  <c r="E122" i="13"/>
  <c r="F122" i="13" s="1"/>
  <c r="B122" i="13"/>
  <c r="I121" i="13"/>
  <c r="H121" i="13"/>
  <c r="J127" i="19"/>
  <c r="J128" i="3"/>
  <c r="I58" i="20"/>
  <c r="D42" i="13"/>
  <c r="H41" i="13"/>
  <c r="G41" i="13"/>
  <c r="H59" i="20"/>
  <c r="E60" i="20"/>
  <c r="F60" i="20" s="1"/>
  <c r="B60" i="20"/>
  <c r="G59" i="20"/>
  <c r="J125" i="28"/>
  <c r="J128" i="4"/>
  <c r="I127" i="18"/>
  <c r="H127" i="18"/>
  <c r="J121" i="35"/>
  <c r="E128" i="18"/>
  <c r="F128" i="18" s="1"/>
  <c r="B128" i="18"/>
  <c r="G124" i="25"/>
  <c r="D125" i="25"/>
  <c r="J124" i="22"/>
  <c r="I120" i="37"/>
  <c r="H120" i="37"/>
  <c r="D123" i="31"/>
  <c r="G122" i="31"/>
  <c r="G125" i="26"/>
  <c r="D126" i="26"/>
  <c r="J124" i="26"/>
  <c r="J123" i="25"/>
  <c r="D123" i="35"/>
  <c r="E123" i="35" s="1"/>
  <c r="G122" i="35"/>
  <c r="E121" i="37"/>
  <c r="F121" i="37" s="1"/>
  <c r="J121" i="31"/>
  <c r="J129" i="23"/>
  <c r="I125" i="21"/>
  <c r="H125" i="21"/>
  <c r="B126" i="21"/>
  <c r="D129" i="19"/>
  <c r="E129" i="19" s="1"/>
  <c r="G128" i="19"/>
  <c r="B126" i="24"/>
  <c r="B126" i="27"/>
  <c r="F126" i="27"/>
  <c r="H121" i="38"/>
  <c r="I121" i="38"/>
  <c r="F122" i="38"/>
  <c r="B122" i="38"/>
  <c r="I125" i="27"/>
  <c r="H125" i="27"/>
  <c r="H121" i="34"/>
  <c r="I121" i="34"/>
  <c r="B122" i="34"/>
  <c r="F122" i="34"/>
  <c r="E126" i="24"/>
  <c r="F126" i="24" s="1"/>
  <c r="E126" i="21"/>
  <c r="F126" i="21" s="1"/>
  <c r="J126" i="29"/>
  <c r="H125" i="24"/>
  <c r="I125" i="24"/>
  <c r="D128" i="29"/>
  <c r="E128" i="29" s="1"/>
  <c r="G127" i="29"/>
  <c r="G130" i="23"/>
  <c r="D131" i="23"/>
  <c r="G129" i="3"/>
  <c r="D130" i="3"/>
  <c r="E130" i="3" s="1"/>
  <c r="G125" i="22"/>
  <c r="D126" i="22"/>
  <c r="E126" i="22" s="1"/>
  <c r="D123" i="20"/>
  <c r="G122" i="20"/>
  <c r="J121" i="20"/>
  <c r="E130" i="39" l="1"/>
  <c r="H129" i="39"/>
  <c r="G126" i="41"/>
  <c r="I126" i="41" s="1"/>
  <c r="D127" i="41"/>
  <c r="E127" i="41" s="1"/>
  <c r="F127" i="41" s="1"/>
  <c r="J125" i="41"/>
  <c r="F130" i="39"/>
  <c r="B130" i="39"/>
  <c r="B124" i="40"/>
  <c r="F124" i="40"/>
  <c r="H124" i="40" s="1"/>
  <c r="B126" i="41"/>
  <c r="H126" i="41"/>
  <c r="J129" i="39"/>
  <c r="G129" i="4"/>
  <c r="I129" i="4" s="1"/>
  <c r="J121" i="13"/>
  <c r="D123" i="13"/>
  <c r="G122" i="13"/>
  <c r="J121" i="34"/>
  <c r="J121" i="38"/>
  <c r="B61" i="20"/>
  <c r="H60" i="20"/>
  <c r="G60" i="20"/>
  <c r="E61" i="20"/>
  <c r="F61" i="20" s="1"/>
  <c r="I59" i="20"/>
  <c r="I41" i="13"/>
  <c r="J127" i="18"/>
  <c r="B42" i="13"/>
  <c r="E42" i="13"/>
  <c r="F42" i="13" s="1"/>
  <c r="B130" i="4"/>
  <c r="G128" i="18"/>
  <c r="D129" i="18"/>
  <c r="E130" i="4"/>
  <c r="F130" i="4" s="1"/>
  <c r="I125" i="26"/>
  <c r="H125" i="26"/>
  <c r="B123" i="35"/>
  <c r="F123" i="35"/>
  <c r="I122" i="31"/>
  <c r="H122" i="31"/>
  <c r="E123" i="31"/>
  <c r="F123" i="31" s="1"/>
  <c r="B123" i="31"/>
  <c r="B127" i="28"/>
  <c r="J120" i="37"/>
  <c r="G121" i="37"/>
  <c r="D122" i="37"/>
  <c r="B122" i="37" s="1"/>
  <c r="B126" i="26"/>
  <c r="E125" i="25"/>
  <c r="F125" i="25" s="1"/>
  <c r="B125" i="25"/>
  <c r="H122" i="35"/>
  <c r="I122" i="35"/>
  <c r="E126" i="26"/>
  <c r="F126" i="26" s="1"/>
  <c r="H124" i="25"/>
  <c r="I124" i="25"/>
  <c r="D127" i="21"/>
  <c r="E127" i="21" s="1"/>
  <c r="G126" i="21"/>
  <c r="D127" i="24"/>
  <c r="E127" i="24" s="1"/>
  <c r="G126" i="24"/>
  <c r="J125" i="21"/>
  <c r="F129" i="19"/>
  <c r="B129" i="19"/>
  <c r="D127" i="27"/>
  <c r="E127" i="27" s="1"/>
  <c r="G126" i="27"/>
  <c r="H127" i="29"/>
  <c r="I127" i="29"/>
  <c r="J125" i="27"/>
  <c r="I128" i="19"/>
  <c r="H128" i="19"/>
  <c r="F128" i="29"/>
  <c r="J125" i="24"/>
  <c r="D123" i="34"/>
  <c r="E123" i="34" s="1"/>
  <c r="G122" i="34"/>
  <c r="G122" i="38"/>
  <c r="D123" i="38"/>
  <c r="E123" i="38" s="1"/>
  <c r="I122" i="20"/>
  <c r="H122" i="20"/>
  <c r="B123" i="20"/>
  <c r="H129" i="3"/>
  <c r="I129" i="3"/>
  <c r="B130" i="3"/>
  <c r="F130" i="3"/>
  <c r="B126" i="22"/>
  <c r="F126" i="22"/>
  <c r="H125" i="22"/>
  <c r="I125" i="22"/>
  <c r="H130" i="23"/>
  <c r="I130" i="23"/>
  <c r="E123" i="20"/>
  <c r="F123" i="20" s="1"/>
  <c r="E131" i="23"/>
  <c r="F131" i="23" s="1"/>
  <c r="D128" i="41" l="1"/>
  <c r="G127" i="41"/>
  <c r="I127" i="41" s="1"/>
  <c r="E128" i="41"/>
  <c r="G130" i="39"/>
  <c r="I130" i="39" s="1"/>
  <c r="D131" i="39"/>
  <c r="E131" i="39"/>
  <c r="H127" i="41"/>
  <c r="B127" i="41"/>
  <c r="D125" i="40"/>
  <c r="G124" i="40"/>
  <c r="I124" i="40" s="1"/>
  <c r="J124" i="40" s="1"/>
  <c r="E125" i="40"/>
  <c r="H130" i="39"/>
  <c r="J126" i="41"/>
  <c r="H129" i="4"/>
  <c r="J129" i="4" s="1"/>
  <c r="J126" i="28"/>
  <c r="H122" i="13"/>
  <c r="I122" i="13"/>
  <c r="E123" i="13"/>
  <c r="F123" i="13" s="1"/>
  <c r="B123" i="13"/>
  <c r="I60" i="20"/>
  <c r="D43" i="13"/>
  <c r="G42" i="13"/>
  <c r="H42" i="13"/>
  <c r="B62" i="20"/>
  <c r="G61" i="20"/>
  <c r="H61" i="20"/>
  <c r="E62" i="20"/>
  <c r="F62" i="20" s="1"/>
  <c r="E122" i="37"/>
  <c r="F122" i="37" s="1"/>
  <c r="D123" i="37" s="1"/>
  <c r="E123" i="37" s="1"/>
  <c r="D131" i="4"/>
  <c r="E131" i="4" s="1"/>
  <c r="G130" i="4"/>
  <c r="E129" i="18"/>
  <c r="F129" i="18" s="1"/>
  <c r="B129" i="18"/>
  <c r="H128" i="18"/>
  <c r="I128" i="18"/>
  <c r="J130" i="23"/>
  <c r="J124" i="25"/>
  <c r="G123" i="31"/>
  <c r="D124" i="31"/>
  <c r="E124" i="31" s="1"/>
  <c r="J129" i="3"/>
  <c r="I121" i="37"/>
  <c r="H121" i="37"/>
  <c r="G125" i="25"/>
  <c r="D126" i="25"/>
  <c r="J122" i="31"/>
  <c r="G123" i="35"/>
  <c r="D124" i="35"/>
  <c r="E124" i="35" s="1"/>
  <c r="G126" i="26"/>
  <c r="D127" i="26"/>
  <c r="B127" i="26" s="1"/>
  <c r="J125" i="26"/>
  <c r="J122" i="35"/>
  <c r="J125" i="22"/>
  <c r="I122" i="34"/>
  <c r="H122" i="34"/>
  <c r="J127" i="29"/>
  <c r="H126" i="27"/>
  <c r="I126" i="27"/>
  <c r="B127" i="27"/>
  <c r="F127" i="27"/>
  <c r="I126" i="24"/>
  <c r="H126" i="24"/>
  <c r="G129" i="19"/>
  <c r="D130" i="19"/>
  <c r="E130" i="19" s="1"/>
  <c r="B127" i="24"/>
  <c r="F127" i="24"/>
  <c r="B123" i="34"/>
  <c r="F123" i="34"/>
  <c r="F123" i="38"/>
  <c r="B123" i="38"/>
  <c r="H126" i="21"/>
  <c r="I126" i="21"/>
  <c r="G128" i="29"/>
  <c r="D129" i="29"/>
  <c r="E129" i="29" s="1"/>
  <c r="H122" i="38"/>
  <c r="I122" i="38"/>
  <c r="J128" i="19"/>
  <c r="B127" i="21"/>
  <c r="F127" i="21"/>
  <c r="G123" i="20"/>
  <c r="D124" i="20"/>
  <c r="E124" i="20" s="1"/>
  <c r="G126" i="22"/>
  <c r="D127" i="22"/>
  <c r="E127" i="22" s="1"/>
  <c r="D132" i="23"/>
  <c r="G131" i="23"/>
  <c r="D131" i="3"/>
  <c r="E131" i="3" s="1"/>
  <c r="G130" i="3"/>
  <c r="J122" i="20"/>
  <c r="J130" i="39" l="1"/>
  <c r="F131" i="39"/>
  <c r="J127" i="41"/>
  <c r="B125" i="40"/>
  <c r="F125" i="40"/>
  <c r="H131" i="39"/>
  <c r="B131" i="39"/>
  <c r="F128" i="41"/>
  <c r="H128" i="41" s="1"/>
  <c r="B128" i="41"/>
  <c r="G122" i="37"/>
  <c r="J122" i="13"/>
  <c r="D124" i="13"/>
  <c r="G123" i="13"/>
  <c r="I42" i="13"/>
  <c r="I61" i="20"/>
  <c r="J128" i="18"/>
  <c r="G62" i="20"/>
  <c r="H62" i="20"/>
  <c r="B63" i="20"/>
  <c r="E63" i="20"/>
  <c r="F63" i="20" s="1"/>
  <c r="B43" i="13"/>
  <c r="E43" i="13"/>
  <c r="F43" i="13" s="1"/>
  <c r="E127" i="26"/>
  <c r="F127" i="26" s="1"/>
  <c r="G129" i="18"/>
  <c r="D130" i="18"/>
  <c r="B130" i="18" s="1"/>
  <c r="I130" i="4"/>
  <c r="H130" i="4"/>
  <c r="J122" i="38"/>
  <c r="F131" i="4"/>
  <c r="B131" i="4"/>
  <c r="I126" i="26"/>
  <c r="H126" i="26"/>
  <c r="E126" i="25"/>
  <c r="F126" i="25" s="1"/>
  <c r="B126" i="25"/>
  <c r="H125" i="25"/>
  <c r="I125" i="25"/>
  <c r="B124" i="35"/>
  <c r="F124" i="35"/>
  <c r="J126" i="21"/>
  <c r="H122" i="37"/>
  <c r="I122" i="37"/>
  <c r="H123" i="35"/>
  <c r="I123" i="35"/>
  <c r="J121" i="37"/>
  <c r="B123" i="37"/>
  <c r="F123" i="37"/>
  <c r="B128" i="28"/>
  <c r="B124" i="31"/>
  <c r="F124" i="31"/>
  <c r="H123" i="31"/>
  <c r="I123" i="31"/>
  <c r="J126" i="27"/>
  <c r="D124" i="34"/>
  <c r="E124" i="34" s="1"/>
  <c r="G123" i="34"/>
  <c r="G127" i="24"/>
  <c r="D128" i="24"/>
  <c r="E128" i="24" s="1"/>
  <c r="D124" i="38"/>
  <c r="E124" i="38" s="1"/>
  <c r="G123" i="38"/>
  <c r="F129" i="29"/>
  <c r="J122" i="34"/>
  <c r="I128" i="29"/>
  <c r="H128" i="29"/>
  <c r="B130" i="19"/>
  <c r="F130" i="19"/>
  <c r="J126" i="24"/>
  <c r="I129" i="19"/>
  <c r="H129" i="19"/>
  <c r="D128" i="27"/>
  <c r="E128" i="27" s="1"/>
  <c r="G127" i="27"/>
  <c r="G127" i="21"/>
  <c r="D128" i="21"/>
  <c r="E128" i="21" s="1"/>
  <c r="H126" i="22"/>
  <c r="I126" i="22"/>
  <c r="H131" i="23"/>
  <c r="I131" i="23"/>
  <c r="B127" i="22"/>
  <c r="F127" i="22"/>
  <c r="B124" i="20"/>
  <c r="F124" i="20"/>
  <c r="H130" i="3"/>
  <c r="I130" i="3"/>
  <c r="B131" i="3"/>
  <c r="F131" i="3"/>
  <c r="E132" i="23"/>
  <c r="F132" i="23" s="1"/>
  <c r="H123" i="20"/>
  <c r="I123" i="20"/>
  <c r="D126" i="40" l="1"/>
  <c r="G125" i="40"/>
  <c r="I125" i="40" s="1"/>
  <c r="E126" i="40"/>
  <c r="D132" i="39"/>
  <c r="E132" i="39" s="1"/>
  <c r="G131" i="39"/>
  <c r="I131" i="39" s="1"/>
  <c r="J131" i="39" s="1"/>
  <c r="J156" i="39" s="1"/>
  <c r="G128" i="41"/>
  <c r="I128" i="41" s="1"/>
  <c r="J128" i="41" s="1"/>
  <c r="D129" i="41"/>
  <c r="H125" i="40"/>
  <c r="H123" i="13"/>
  <c r="I123" i="13"/>
  <c r="E124" i="13"/>
  <c r="F124" i="13" s="1"/>
  <c r="B124" i="13"/>
  <c r="J130" i="4"/>
  <c r="I62" i="20"/>
  <c r="D44" i="13"/>
  <c r="E44" i="13" s="1"/>
  <c r="H43" i="13"/>
  <c r="G43" i="13"/>
  <c r="E130" i="18"/>
  <c r="F130" i="18" s="1"/>
  <c r="G130" i="18" s="1"/>
  <c r="G127" i="26"/>
  <c r="D128" i="26"/>
  <c r="J123" i="31"/>
  <c r="G63" i="20"/>
  <c r="B64" i="20"/>
  <c r="H63" i="20"/>
  <c r="E64" i="20"/>
  <c r="F64" i="20" s="1"/>
  <c r="J127" i="28"/>
  <c r="J130" i="3"/>
  <c r="J123" i="35"/>
  <c r="J125" i="25"/>
  <c r="D132" i="4"/>
  <c r="G131" i="4"/>
  <c r="J122" i="37"/>
  <c r="I129" i="18"/>
  <c r="H129" i="18"/>
  <c r="G124" i="31"/>
  <c r="D125" i="31"/>
  <c r="D127" i="25"/>
  <c r="E127" i="25" s="1"/>
  <c r="G126" i="25"/>
  <c r="G123" i="37"/>
  <c r="D124" i="37"/>
  <c r="D125" i="35"/>
  <c r="G124" i="35"/>
  <c r="J126" i="26"/>
  <c r="J129" i="19"/>
  <c r="J128" i="29"/>
  <c r="H123" i="34"/>
  <c r="I123" i="34"/>
  <c r="H123" i="38"/>
  <c r="I123" i="38"/>
  <c r="F124" i="34"/>
  <c r="B124" i="34"/>
  <c r="B124" i="38"/>
  <c r="F124" i="38"/>
  <c r="I127" i="27"/>
  <c r="H127" i="27"/>
  <c r="G129" i="29"/>
  <c r="D130" i="29"/>
  <c r="B128" i="21"/>
  <c r="F128" i="21"/>
  <c r="F128" i="27"/>
  <c r="B128" i="27"/>
  <c r="G130" i="19"/>
  <c r="D131" i="19"/>
  <c r="F128" i="24"/>
  <c r="B128" i="24"/>
  <c r="J131" i="23"/>
  <c r="H127" i="21"/>
  <c r="I127" i="21"/>
  <c r="I127" i="24"/>
  <c r="H127" i="24"/>
  <c r="G131" i="3"/>
  <c r="D132" i="3"/>
  <c r="J123" i="20"/>
  <c r="G132" i="23"/>
  <c r="D133" i="23"/>
  <c r="E133" i="23" s="1"/>
  <c r="D128" i="22"/>
  <c r="G127" i="22"/>
  <c r="D125" i="20"/>
  <c r="E125" i="20" s="1"/>
  <c r="G124" i="20"/>
  <c r="J126" i="22"/>
  <c r="J123" i="13" l="1"/>
  <c r="B129" i="41"/>
  <c r="F132" i="39"/>
  <c r="H132" i="39" s="1"/>
  <c r="B132" i="39"/>
  <c r="J125" i="40"/>
  <c r="E129" i="41"/>
  <c r="F129" i="41" s="1"/>
  <c r="B126" i="40"/>
  <c r="F126" i="40"/>
  <c r="H126" i="40" s="1"/>
  <c r="D131" i="18"/>
  <c r="B131" i="18" s="1"/>
  <c r="G124" i="13"/>
  <c r="D125" i="13"/>
  <c r="B125" i="13" s="1"/>
  <c r="I63" i="20"/>
  <c r="I127" i="26"/>
  <c r="H127" i="26"/>
  <c r="I43" i="13"/>
  <c r="E65" i="20"/>
  <c r="F65" i="20" s="1"/>
  <c r="B65" i="20"/>
  <c r="G64" i="20"/>
  <c r="H64" i="20"/>
  <c r="B128" i="26"/>
  <c r="E128" i="26"/>
  <c r="F128" i="26" s="1"/>
  <c r="B44" i="13"/>
  <c r="F44" i="13"/>
  <c r="G44" i="13" s="1"/>
  <c r="H130" i="18"/>
  <c r="I130" i="18"/>
  <c r="J129" i="18"/>
  <c r="J127" i="21"/>
  <c r="H131" i="4"/>
  <c r="I131" i="4"/>
  <c r="E132" i="4"/>
  <c r="F132" i="4" s="1"/>
  <c r="B132" i="4"/>
  <c r="I126" i="25"/>
  <c r="H126" i="25"/>
  <c r="B127" i="25"/>
  <c r="F127" i="25"/>
  <c r="I124" i="35"/>
  <c r="H124" i="35"/>
  <c r="B129" i="28"/>
  <c r="E125" i="35"/>
  <c r="F125" i="35" s="1"/>
  <c r="B125" i="35"/>
  <c r="E124" i="37"/>
  <c r="F124" i="37" s="1"/>
  <c r="B124" i="37"/>
  <c r="E125" i="31"/>
  <c r="F125" i="31" s="1"/>
  <c r="B125" i="31"/>
  <c r="J123" i="38"/>
  <c r="H123" i="37"/>
  <c r="I123" i="37"/>
  <c r="I124" i="31"/>
  <c r="H124" i="31"/>
  <c r="J127" i="27"/>
  <c r="I129" i="29"/>
  <c r="H129" i="29"/>
  <c r="G128" i="21"/>
  <c r="D129" i="21"/>
  <c r="E129" i="21" s="1"/>
  <c r="G124" i="34"/>
  <c r="D125" i="34"/>
  <c r="E125" i="34" s="1"/>
  <c r="B131" i="19"/>
  <c r="H130" i="19"/>
  <c r="I130" i="19"/>
  <c r="J127" i="24"/>
  <c r="E131" i="19"/>
  <c r="F131" i="19" s="1"/>
  <c r="D125" i="38"/>
  <c r="E125" i="38" s="1"/>
  <c r="G124" i="38"/>
  <c r="J123" i="34"/>
  <c r="D129" i="24"/>
  <c r="E129" i="24" s="1"/>
  <c r="G128" i="24"/>
  <c r="G128" i="27"/>
  <c r="D129" i="27"/>
  <c r="E129" i="27" s="1"/>
  <c r="E130" i="29"/>
  <c r="F130" i="29" s="1"/>
  <c r="B128" i="22"/>
  <c r="F133" i="23"/>
  <c r="H124" i="20"/>
  <c r="I124" i="20"/>
  <c r="H132" i="23"/>
  <c r="I132" i="23"/>
  <c r="B132" i="3"/>
  <c r="I127" i="22"/>
  <c r="H127" i="22"/>
  <c r="E128" i="22"/>
  <c r="F128" i="22" s="1"/>
  <c r="H131" i="3"/>
  <c r="I131" i="3"/>
  <c r="F125" i="20"/>
  <c r="B125" i="20"/>
  <c r="E132" i="3"/>
  <c r="F132" i="3" s="1"/>
  <c r="E131" i="18" l="1"/>
  <c r="F131" i="18" s="1"/>
  <c r="G131" i="18" s="1"/>
  <c r="G129" i="41"/>
  <c r="I129" i="41" s="1"/>
  <c r="D130" i="41"/>
  <c r="E130" i="41"/>
  <c r="F130" i="41" s="1"/>
  <c r="H129" i="41"/>
  <c r="G126" i="40"/>
  <c r="I126" i="40" s="1"/>
  <c r="J126" i="40" s="1"/>
  <c r="D127" i="40"/>
  <c r="D133" i="39"/>
  <c r="G132" i="39"/>
  <c r="I132" i="39" s="1"/>
  <c r="E125" i="13"/>
  <c r="F125" i="13" s="1"/>
  <c r="D126" i="13" s="1"/>
  <c r="E126" i="13" s="1"/>
  <c r="J131" i="3"/>
  <c r="H124" i="13"/>
  <c r="I124" i="13"/>
  <c r="J127" i="26"/>
  <c r="J132" i="23"/>
  <c r="H44" i="13"/>
  <c r="I44" i="13" s="1"/>
  <c r="I64" i="20"/>
  <c r="J130" i="18"/>
  <c r="G65" i="20"/>
  <c r="E66" i="20"/>
  <c r="F66" i="20" s="1"/>
  <c r="B66" i="20"/>
  <c r="H65" i="20"/>
  <c r="D129" i="26"/>
  <c r="G128" i="26"/>
  <c r="J123" i="37"/>
  <c r="D45" i="13"/>
  <c r="E45" i="13" s="1"/>
  <c r="D133" i="4"/>
  <c r="G132" i="4"/>
  <c r="J130" i="19"/>
  <c r="J131" i="4"/>
  <c r="J124" i="31"/>
  <c r="G124" i="37"/>
  <c r="D125" i="37"/>
  <c r="J124" i="35"/>
  <c r="J128" i="28"/>
  <c r="G127" i="25"/>
  <c r="D128" i="25"/>
  <c r="B128" i="25" s="1"/>
  <c r="D126" i="35"/>
  <c r="E126" i="35" s="1"/>
  <c r="G125" i="35"/>
  <c r="G125" i="31"/>
  <c r="D126" i="31"/>
  <c r="J126" i="25"/>
  <c r="J124" i="20"/>
  <c r="D131" i="29"/>
  <c r="E131" i="29" s="1"/>
  <c r="G130" i="29"/>
  <c r="J129" i="29"/>
  <c r="F129" i="27"/>
  <c r="B129" i="27"/>
  <c r="H128" i="27"/>
  <c r="I128" i="27"/>
  <c r="I128" i="24"/>
  <c r="H128" i="24"/>
  <c r="H124" i="38"/>
  <c r="I124" i="38"/>
  <c r="I124" i="34"/>
  <c r="H124" i="34"/>
  <c r="B129" i="24"/>
  <c r="F129" i="24"/>
  <c r="B125" i="38"/>
  <c r="F125" i="38"/>
  <c r="B129" i="21"/>
  <c r="F129" i="21"/>
  <c r="D132" i="19"/>
  <c r="E132" i="19" s="1"/>
  <c r="G131" i="19"/>
  <c r="B125" i="34"/>
  <c r="F125" i="34"/>
  <c r="I128" i="21"/>
  <c r="H128" i="21"/>
  <c r="G128" i="22"/>
  <c r="D129" i="22"/>
  <c r="E129" i="22" s="1"/>
  <c r="D134" i="23"/>
  <c r="G133" i="23"/>
  <c r="J127" i="22"/>
  <c r="G125" i="20"/>
  <c r="D126" i="20"/>
  <c r="D133" i="3"/>
  <c r="E133" i="3" s="1"/>
  <c r="G132" i="3"/>
  <c r="E133" i="39" l="1"/>
  <c r="F133" i="39" s="1"/>
  <c r="H133" i="39" s="1"/>
  <c r="B133" i="39"/>
  <c r="D131" i="41"/>
  <c r="G130" i="41"/>
  <c r="I130" i="41" s="1"/>
  <c r="E127" i="40"/>
  <c r="F127" i="40" s="1"/>
  <c r="B127" i="40"/>
  <c r="H130" i="41"/>
  <c r="B130" i="41"/>
  <c r="J129" i="41"/>
  <c r="B126" i="13"/>
  <c r="F126" i="13"/>
  <c r="G126" i="13" s="1"/>
  <c r="G125" i="13"/>
  <c r="H125" i="13" s="1"/>
  <c r="D132" i="18"/>
  <c r="E132" i="18" s="1"/>
  <c r="J124" i="13"/>
  <c r="J128" i="27"/>
  <c r="I65" i="20"/>
  <c r="H128" i="26"/>
  <c r="I128" i="26"/>
  <c r="E129" i="26"/>
  <c r="F129" i="26" s="1"/>
  <c r="B129" i="26"/>
  <c r="F45" i="13"/>
  <c r="H45" i="13" s="1"/>
  <c r="B45" i="13"/>
  <c r="G66" i="20"/>
  <c r="B67" i="20"/>
  <c r="E67" i="20"/>
  <c r="F67" i="20" s="1"/>
  <c r="H66" i="20"/>
  <c r="E128" i="25"/>
  <c r="F128" i="25" s="1"/>
  <c r="G128" i="25" s="1"/>
  <c r="B133" i="4"/>
  <c r="E133" i="4"/>
  <c r="F133" i="4" s="1"/>
  <c r="H132" i="4"/>
  <c r="I132" i="4"/>
  <c r="H131" i="18"/>
  <c r="I131" i="18"/>
  <c r="I127" i="25"/>
  <c r="H127" i="25"/>
  <c r="E126" i="31"/>
  <c r="F126" i="31" s="1"/>
  <c r="B126" i="31"/>
  <c r="H125" i="31"/>
  <c r="I125" i="31"/>
  <c r="H125" i="35"/>
  <c r="I125" i="35"/>
  <c r="B130" i="28"/>
  <c r="B126" i="35"/>
  <c r="F126" i="35"/>
  <c r="B125" i="37"/>
  <c r="E125" i="37"/>
  <c r="F125" i="37" s="1"/>
  <c r="I124" i="37"/>
  <c r="H124" i="37"/>
  <c r="J124" i="34"/>
  <c r="J124" i="38"/>
  <c r="J128" i="21"/>
  <c r="D130" i="21"/>
  <c r="E130" i="21" s="1"/>
  <c r="G129" i="21"/>
  <c r="I131" i="19"/>
  <c r="H131" i="19"/>
  <c r="G125" i="38"/>
  <c r="D126" i="38"/>
  <c r="E126" i="38" s="1"/>
  <c r="D130" i="24"/>
  <c r="E130" i="24" s="1"/>
  <c r="G129" i="24"/>
  <c r="G129" i="27"/>
  <c r="D130" i="27"/>
  <c r="E130" i="27" s="1"/>
  <c r="F132" i="19"/>
  <c r="B132" i="19"/>
  <c r="H130" i="29"/>
  <c r="I130" i="29"/>
  <c r="G125" i="34"/>
  <c r="D126" i="34"/>
  <c r="E126" i="34" s="1"/>
  <c r="J128" i="24"/>
  <c r="F131" i="29"/>
  <c r="B129" i="22"/>
  <c r="F129" i="22"/>
  <c r="H125" i="20"/>
  <c r="I125" i="20"/>
  <c r="I128" i="22"/>
  <c r="H128" i="22"/>
  <c r="B126" i="20"/>
  <c r="E134" i="23"/>
  <c r="F134" i="23" s="1"/>
  <c r="I132" i="3"/>
  <c r="H132" i="3"/>
  <c r="E126" i="20"/>
  <c r="F126" i="20" s="1"/>
  <c r="F133" i="3"/>
  <c r="B133" i="3"/>
  <c r="H133" i="23"/>
  <c r="I133" i="23"/>
  <c r="D127" i="13" l="1"/>
  <c r="E127" i="13" s="1"/>
  <c r="D128" i="40"/>
  <c r="E128" i="40" s="1"/>
  <c r="G127" i="40"/>
  <c r="I127" i="40" s="1"/>
  <c r="H127" i="40"/>
  <c r="B131" i="41"/>
  <c r="E131" i="41"/>
  <c r="F131" i="41" s="1"/>
  <c r="J130" i="41"/>
  <c r="G133" i="39"/>
  <c r="I133" i="39" s="1"/>
  <c r="D134" i="39"/>
  <c r="E134" i="39" s="1"/>
  <c r="I125" i="13"/>
  <c r="J125" i="13" s="1"/>
  <c r="B132" i="18"/>
  <c r="D129" i="25"/>
  <c r="B129" i="25" s="1"/>
  <c r="F132" i="18"/>
  <c r="G132" i="18" s="1"/>
  <c r="J132" i="4"/>
  <c r="G45" i="13"/>
  <c r="I45" i="13" s="1"/>
  <c r="I66" i="20"/>
  <c r="J131" i="19"/>
  <c r="G67" i="20"/>
  <c r="B68" i="20"/>
  <c r="H67" i="20"/>
  <c r="E68" i="20"/>
  <c r="F68" i="20" s="1"/>
  <c r="J128" i="26"/>
  <c r="J131" i="18"/>
  <c r="D130" i="26"/>
  <c r="G129" i="26"/>
  <c r="D46" i="13"/>
  <c r="E46" i="13" s="1"/>
  <c r="J125" i="31"/>
  <c r="D134" i="4"/>
  <c r="G133" i="4"/>
  <c r="J133" i="23"/>
  <c r="D126" i="37"/>
  <c r="E126" i="37" s="1"/>
  <c r="G125" i="37"/>
  <c r="J130" i="29"/>
  <c r="G126" i="35"/>
  <c r="D127" i="35"/>
  <c r="J125" i="20"/>
  <c r="J124" i="37"/>
  <c r="G126" i="31"/>
  <c r="D127" i="31"/>
  <c r="H128" i="25"/>
  <c r="I128" i="25"/>
  <c r="J129" i="28"/>
  <c r="J125" i="35"/>
  <c r="J127" i="25"/>
  <c r="F130" i="27"/>
  <c r="B130" i="27"/>
  <c r="I129" i="27"/>
  <c r="H129" i="27"/>
  <c r="B126" i="34"/>
  <c r="F126" i="34"/>
  <c r="H125" i="38"/>
  <c r="I125" i="38"/>
  <c r="D132" i="29"/>
  <c r="G131" i="29"/>
  <c r="H125" i="34"/>
  <c r="I125" i="34"/>
  <c r="I129" i="24"/>
  <c r="H129" i="24"/>
  <c r="J128" i="22"/>
  <c r="D133" i="19"/>
  <c r="E133" i="19" s="1"/>
  <c r="G132" i="19"/>
  <c r="B130" i="24"/>
  <c r="F130" i="24"/>
  <c r="H129" i="21"/>
  <c r="I129" i="21"/>
  <c r="B127" i="13"/>
  <c r="F127" i="13"/>
  <c r="F130" i="21"/>
  <c r="B130" i="21"/>
  <c r="H126" i="13"/>
  <c r="I126" i="13"/>
  <c r="B126" i="38"/>
  <c r="F126" i="38"/>
  <c r="G126" i="20"/>
  <c r="D127" i="20"/>
  <c r="E127" i="20" s="1"/>
  <c r="D135" i="23"/>
  <c r="E135" i="23" s="1"/>
  <c r="G134" i="23"/>
  <c r="G133" i="3"/>
  <c r="D134" i="3"/>
  <c r="D130" i="22"/>
  <c r="G129" i="22"/>
  <c r="J132" i="3"/>
  <c r="E129" i="25" l="1"/>
  <c r="D132" i="41"/>
  <c r="G131" i="41"/>
  <c r="I131" i="41" s="1"/>
  <c r="E132" i="41"/>
  <c r="F132" i="41" s="1"/>
  <c r="H131" i="41"/>
  <c r="F134" i="39"/>
  <c r="B134" i="39"/>
  <c r="J127" i="40"/>
  <c r="F128" i="40"/>
  <c r="H128" i="40" s="1"/>
  <c r="B128" i="40"/>
  <c r="D133" i="18"/>
  <c r="B133" i="18" s="1"/>
  <c r="F129" i="25"/>
  <c r="D130" i="25" s="1"/>
  <c r="J125" i="34"/>
  <c r="H129" i="26"/>
  <c r="I129" i="26"/>
  <c r="E130" i="26"/>
  <c r="F130" i="26" s="1"/>
  <c r="B130" i="26"/>
  <c r="F46" i="13"/>
  <c r="B46" i="13"/>
  <c r="E69" i="20"/>
  <c r="F69" i="20" s="1"/>
  <c r="G68" i="20"/>
  <c r="H68" i="20"/>
  <c r="B69" i="20"/>
  <c r="J125" i="38"/>
  <c r="I67" i="20"/>
  <c r="E134" i="4"/>
  <c r="F134" i="4" s="1"/>
  <c r="B134" i="4"/>
  <c r="H132" i="18"/>
  <c r="I132" i="18"/>
  <c r="I133" i="4"/>
  <c r="H133" i="4"/>
  <c r="E127" i="31"/>
  <c r="F127" i="31" s="1"/>
  <c r="B127" i="31"/>
  <c r="H126" i="35"/>
  <c r="I126" i="35"/>
  <c r="H126" i="31"/>
  <c r="I126" i="31"/>
  <c r="G129" i="25"/>
  <c r="I125" i="37"/>
  <c r="H125" i="37"/>
  <c r="F126" i="37"/>
  <c r="B126" i="37"/>
  <c r="J128" i="25"/>
  <c r="E127" i="35"/>
  <c r="F127" i="35" s="1"/>
  <c r="B127" i="35"/>
  <c r="B131" i="28"/>
  <c r="J129" i="24"/>
  <c r="J129" i="27"/>
  <c r="G127" i="13"/>
  <c r="D128" i="13"/>
  <c r="E128" i="13" s="1"/>
  <c r="I132" i="19"/>
  <c r="H132" i="19"/>
  <c r="B133" i="19"/>
  <c r="F133" i="19"/>
  <c r="D127" i="34"/>
  <c r="G126" i="34"/>
  <c r="D131" i="21"/>
  <c r="G130" i="21"/>
  <c r="J129" i="21"/>
  <c r="D127" i="38"/>
  <c r="E127" i="38" s="1"/>
  <c r="G126" i="38"/>
  <c r="E132" i="29"/>
  <c r="F132" i="29" s="1"/>
  <c r="J126" i="13"/>
  <c r="D131" i="24"/>
  <c r="E131" i="24" s="1"/>
  <c r="G130" i="24"/>
  <c r="I131" i="29"/>
  <c r="H131" i="29"/>
  <c r="G130" i="27"/>
  <c r="D131" i="27"/>
  <c r="H133" i="3"/>
  <c r="I133" i="3"/>
  <c r="B134" i="3"/>
  <c r="I134" i="23"/>
  <c r="H134" i="23"/>
  <c r="F135" i="23"/>
  <c r="B130" i="22"/>
  <c r="I129" i="22"/>
  <c r="H129" i="22"/>
  <c r="F127" i="20"/>
  <c r="B127" i="20"/>
  <c r="E130" i="22"/>
  <c r="F130" i="22" s="1"/>
  <c r="E134" i="3"/>
  <c r="F134" i="3" s="1"/>
  <c r="H126" i="20"/>
  <c r="I126" i="20"/>
  <c r="E133" i="18" l="1"/>
  <c r="G132" i="41"/>
  <c r="I132" i="41" s="1"/>
  <c r="D133" i="41"/>
  <c r="E133" i="41" s="1"/>
  <c r="G134" i="39"/>
  <c r="I134" i="39" s="1"/>
  <c r="D135" i="39"/>
  <c r="E135" i="39" s="1"/>
  <c r="F135" i="39" s="1"/>
  <c r="J131" i="41"/>
  <c r="J156" i="41" s="1"/>
  <c r="D129" i="40"/>
  <c r="G128" i="40"/>
  <c r="I128" i="40" s="1"/>
  <c r="J128" i="40" s="1"/>
  <c r="H134" i="39"/>
  <c r="H132" i="41"/>
  <c r="B132" i="41"/>
  <c r="F133" i="18"/>
  <c r="D134" i="18" s="1"/>
  <c r="J126" i="35"/>
  <c r="J126" i="31"/>
  <c r="I68" i="20"/>
  <c r="J132" i="18"/>
  <c r="G130" i="26"/>
  <c r="D131" i="26"/>
  <c r="J133" i="3"/>
  <c r="G69" i="20"/>
  <c r="H69" i="20"/>
  <c r="B70" i="20"/>
  <c r="E70" i="20"/>
  <c r="F70" i="20" s="1"/>
  <c r="D47" i="13"/>
  <c r="E47" i="13" s="1"/>
  <c r="J132" i="19"/>
  <c r="G46" i="13"/>
  <c r="H46" i="13"/>
  <c r="J129" i="26"/>
  <c r="G134" i="4"/>
  <c r="D135" i="4"/>
  <c r="J130" i="28"/>
  <c r="J133" i="4"/>
  <c r="D128" i="35"/>
  <c r="B128" i="35" s="1"/>
  <c r="G127" i="35"/>
  <c r="I129" i="25"/>
  <c r="H129" i="25"/>
  <c r="E130" i="25"/>
  <c r="F130" i="25" s="1"/>
  <c r="B130" i="25"/>
  <c r="G126" i="37"/>
  <c r="D127" i="37"/>
  <c r="J125" i="37"/>
  <c r="D128" i="31"/>
  <c r="G127" i="31"/>
  <c r="G132" i="29"/>
  <c r="D133" i="29"/>
  <c r="E133" i="29" s="1"/>
  <c r="B127" i="34"/>
  <c r="I127" i="13"/>
  <c r="H127" i="13"/>
  <c r="H126" i="34"/>
  <c r="I126" i="34"/>
  <c r="F131" i="24"/>
  <c r="B131" i="24"/>
  <c r="D134" i="19"/>
  <c r="E134" i="19" s="1"/>
  <c r="G133" i="19"/>
  <c r="H130" i="24"/>
  <c r="I130" i="24"/>
  <c r="F127" i="38"/>
  <c r="B127" i="38"/>
  <c r="B131" i="21"/>
  <c r="B128" i="13"/>
  <c r="F128" i="13"/>
  <c r="B131" i="27"/>
  <c r="J131" i="29"/>
  <c r="J156" i="29" s="1"/>
  <c r="E131" i="21"/>
  <c r="F131" i="21" s="1"/>
  <c r="E131" i="27"/>
  <c r="F131" i="27" s="1"/>
  <c r="H126" i="38"/>
  <c r="I126" i="38"/>
  <c r="H130" i="27"/>
  <c r="I130" i="27"/>
  <c r="I130" i="21"/>
  <c r="H130" i="21"/>
  <c r="E127" i="34"/>
  <c r="F127" i="34" s="1"/>
  <c r="G130" i="22"/>
  <c r="D131" i="22"/>
  <c r="D135" i="3"/>
  <c r="E135" i="3" s="1"/>
  <c r="G134" i="3"/>
  <c r="D136" i="23"/>
  <c r="E136" i="23" s="1"/>
  <c r="G135" i="23"/>
  <c r="J134" i="23"/>
  <c r="J129" i="22"/>
  <c r="G127" i="20"/>
  <c r="D128" i="20"/>
  <c r="J126" i="20"/>
  <c r="G133" i="18" l="1"/>
  <c r="B129" i="40"/>
  <c r="E129" i="40"/>
  <c r="F129" i="40" s="1"/>
  <c r="D136" i="39"/>
  <c r="E136" i="39" s="1"/>
  <c r="F136" i="39" s="1"/>
  <c r="G135" i="39"/>
  <c r="I135" i="39" s="1"/>
  <c r="F133" i="41"/>
  <c r="B133" i="41"/>
  <c r="B135" i="39"/>
  <c r="H135" i="39"/>
  <c r="J126" i="38"/>
  <c r="I69" i="20"/>
  <c r="I46" i="13"/>
  <c r="F47" i="13"/>
  <c r="G47" i="13" s="1"/>
  <c r="B47" i="13"/>
  <c r="E131" i="26"/>
  <c r="F131" i="26" s="1"/>
  <c r="B131" i="26"/>
  <c r="B71" i="20"/>
  <c r="H70" i="20"/>
  <c r="G70" i="20"/>
  <c r="E71" i="20"/>
  <c r="F71" i="20" s="1"/>
  <c r="H130" i="26"/>
  <c r="I130" i="26"/>
  <c r="E135" i="4"/>
  <c r="F135" i="4" s="1"/>
  <c r="B135" i="4"/>
  <c r="I134" i="4"/>
  <c r="H134" i="4"/>
  <c r="I133" i="18"/>
  <c r="H133" i="18"/>
  <c r="E128" i="35"/>
  <c r="F128" i="35" s="1"/>
  <c r="E134" i="18"/>
  <c r="F134" i="18" s="1"/>
  <c r="B134" i="18"/>
  <c r="B128" i="31"/>
  <c r="D131" i="25"/>
  <c r="E131" i="25" s="1"/>
  <c r="G130" i="25"/>
  <c r="J126" i="34"/>
  <c r="B127" i="37"/>
  <c r="E127" i="37"/>
  <c r="F127" i="37" s="1"/>
  <c r="H126" i="37"/>
  <c r="I126" i="37"/>
  <c r="J129" i="25"/>
  <c r="B132" i="28"/>
  <c r="I127" i="31"/>
  <c r="H127" i="31"/>
  <c r="I127" i="35"/>
  <c r="H127" i="35"/>
  <c r="E128" i="31"/>
  <c r="F128" i="31" s="1"/>
  <c r="J130" i="27"/>
  <c r="D128" i="34"/>
  <c r="E128" i="34" s="1"/>
  <c r="G127" i="34"/>
  <c r="D132" i="27"/>
  <c r="E132" i="27" s="1"/>
  <c r="G131" i="27"/>
  <c r="G131" i="21"/>
  <c r="D132" i="21"/>
  <c r="I133" i="19"/>
  <c r="H133" i="19"/>
  <c r="J130" i="21"/>
  <c r="G131" i="24"/>
  <c r="D132" i="24"/>
  <c r="E132" i="24" s="1"/>
  <c r="B134" i="19"/>
  <c r="F134" i="19"/>
  <c r="F133" i="29"/>
  <c r="J127" i="13"/>
  <c r="H132" i="29"/>
  <c r="I132" i="29"/>
  <c r="G127" i="38"/>
  <c r="D128" i="38"/>
  <c r="D129" i="13"/>
  <c r="G128" i="13"/>
  <c r="J130" i="24"/>
  <c r="B135" i="3"/>
  <c r="F135" i="3"/>
  <c r="F136" i="23"/>
  <c r="I134" i="3"/>
  <c r="H134" i="3"/>
  <c r="B128" i="20"/>
  <c r="B131" i="22"/>
  <c r="I127" i="20"/>
  <c r="H127" i="20"/>
  <c r="E131" i="22"/>
  <c r="F131" i="22" s="1"/>
  <c r="E128" i="20"/>
  <c r="F128" i="20" s="1"/>
  <c r="H135" i="23"/>
  <c r="I135" i="23"/>
  <c r="I130" i="22"/>
  <c r="H130" i="22"/>
  <c r="G129" i="40" l="1"/>
  <c r="I129" i="40" s="1"/>
  <c r="D130" i="40"/>
  <c r="H129" i="40"/>
  <c r="G136" i="39"/>
  <c r="I136" i="39" s="1"/>
  <c r="D137" i="39"/>
  <c r="D134" i="41"/>
  <c r="G133" i="41"/>
  <c r="I133" i="41" s="1"/>
  <c r="E134" i="41"/>
  <c r="F134" i="41" s="1"/>
  <c r="H133" i="41"/>
  <c r="B136" i="39"/>
  <c r="H136" i="39"/>
  <c r="H47" i="13"/>
  <c r="I47" i="13" s="1"/>
  <c r="J130" i="26"/>
  <c r="J131" i="28"/>
  <c r="G131" i="26"/>
  <c r="D132" i="26"/>
  <c r="B132" i="26" s="1"/>
  <c r="J133" i="18"/>
  <c r="G71" i="20"/>
  <c r="B72" i="20"/>
  <c r="E72" i="20"/>
  <c r="F72" i="20" s="1"/>
  <c r="H71" i="20"/>
  <c r="D48" i="13"/>
  <c r="E48" i="13" s="1"/>
  <c r="J134" i="4"/>
  <c r="I70" i="20"/>
  <c r="D129" i="35"/>
  <c r="G128" i="35"/>
  <c r="J126" i="37"/>
  <c r="D135" i="18"/>
  <c r="G134" i="18"/>
  <c r="G135" i="4"/>
  <c r="D136" i="4"/>
  <c r="D129" i="31"/>
  <c r="G128" i="31"/>
  <c r="G127" i="37"/>
  <c r="D128" i="37"/>
  <c r="B128" i="37" s="1"/>
  <c r="J127" i="31"/>
  <c r="H130" i="25"/>
  <c r="I130" i="25"/>
  <c r="F131" i="25"/>
  <c r="B131" i="25"/>
  <c r="J127" i="35"/>
  <c r="J127" i="20"/>
  <c r="H131" i="21"/>
  <c r="I131" i="21"/>
  <c r="B129" i="13"/>
  <c r="B128" i="38"/>
  <c r="D134" i="29"/>
  <c r="E134" i="29" s="1"/>
  <c r="G133" i="29"/>
  <c r="E128" i="38"/>
  <c r="F128" i="38" s="1"/>
  <c r="G134" i="19"/>
  <c r="D135" i="19"/>
  <c r="H131" i="27"/>
  <c r="I131" i="27"/>
  <c r="B132" i="21"/>
  <c r="J130" i="22"/>
  <c r="J134" i="3"/>
  <c r="H127" i="38"/>
  <c r="I127" i="38"/>
  <c r="J133" i="19"/>
  <c r="F132" i="27"/>
  <c r="B132" i="27"/>
  <c r="I128" i="13"/>
  <c r="H128" i="13"/>
  <c r="B132" i="24"/>
  <c r="F132" i="24"/>
  <c r="I127" i="34"/>
  <c r="H127" i="34"/>
  <c r="E129" i="13"/>
  <c r="F129" i="13" s="1"/>
  <c r="H131" i="24"/>
  <c r="I131" i="24"/>
  <c r="E132" i="21"/>
  <c r="F132" i="21" s="1"/>
  <c r="F128" i="34"/>
  <c r="B128" i="34"/>
  <c r="G131" i="22"/>
  <c r="D132" i="22"/>
  <c r="G128" i="20"/>
  <c r="D129" i="20"/>
  <c r="J135" i="23"/>
  <c r="D137" i="23"/>
  <c r="G136" i="23"/>
  <c r="D136" i="3"/>
  <c r="G135" i="3"/>
  <c r="B134" i="41" l="1"/>
  <c r="H134" i="41"/>
  <c r="E130" i="40"/>
  <c r="F130" i="40"/>
  <c r="B130" i="40"/>
  <c r="G134" i="41"/>
  <c r="I134" i="41" s="1"/>
  <c r="D135" i="41"/>
  <c r="E137" i="39"/>
  <c r="F137" i="39" s="1"/>
  <c r="H137" i="39" s="1"/>
  <c r="B137" i="39"/>
  <c r="J129" i="40"/>
  <c r="E132" i="26"/>
  <c r="F132" i="26" s="1"/>
  <c r="F48" i="13"/>
  <c r="B48" i="13"/>
  <c r="I71" i="20"/>
  <c r="G72" i="20"/>
  <c r="E73" i="20"/>
  <c r="B73" i="20"/>
  <c r="H72" i="20"/>
  <c r="I131" i="26"/>
  <c r="H131" i="26"/>
  <c r="E136" i="4"/>
  <c r="F136" i="4" s="1"/>
  <c r="B136" i="4"/>
  <c r="I135" i="4"/>
  <c r="H135" i="4"/>
  <c r="J131" i="27"/>
  <c r="H134" i="18"/>
  <c r="I134" i="18"/>
  <c r="E135" i="18"/>
  <c r="F135" i="18" s="1"/>
  <c r="B135" i="18"/>
  <c r="I128" i="35"/>
  <c r="H128" i="35"/>
  <c r="E129" i="35"/>
  <c r="F129" i="35" s="1"/>
  <c r="B129" i="35"/>
  <c r="I127" i="37"/>
  <c r="H127" i="37"/>
  <c r="I128" i="31"/>
  <c r="H128" i="31"/>
  <c r="D132" i="25"/>
  <c r="G131" i="25"/>
  <c r="E129" i="31"/>
  <c r="F129" i="31" s="1"/>
  <c r="B129" i="31"/>
  <c r="E128" i="37"/>
  <c r="F128" i="37" s="1"/>
  <c r="J130" i="25"/>
  <c r="J131" i="21"/>
  <c r="B133" i="28"/>
  <c r="J128" i="13"/>
  <c r="J131" i="24"/>
  <c r="D129" i="38"/>
  <c r="G128" i="38"/>
  <c r="D133" i="21"/>
  <c r="E133" i="21" s="1"/>
  <c r="G132" i="21"/>
  <c r="J127" i="34"/>
  <c r="H134" i="19"/>
  <c r="I134" i="19"/>
  <c r="D130" i="13"/>
  <c r="E130" i="13" s="1"/>
  <c r="G129" i="13"/>
  <c r="B135" i="19"/>
  <c r="D133" i="24"/>
  <c r="E133" i="24" s="1"/>
  <c r="G132" i="24"/>
  <c r="G132" i="27"/>
  <c r="D133" i="27"/>
  <c r="E133" i="27" s="1"/>
  <c r="G128" i="34"/>
  <c r="D129" i="34"/>
  <c r="E129" i="34" s="1"/>
  <c r="H133" i="29"/>
  <c r="I133" i="29"/>
  <c r="J127" i="38"/>
  <c r="E135" i="19"/>
  <c r="F135" i="19" s="1"/>
  <c r="F134" i="29"/>
  <c r="B136" i="3"/>
  <c r="B129" i="20"/>
  <c r="E129" i="20"/>
  <c r="F129" i="20" s="1"/>
  <c r="H128" i="20"/>
  <c r="I128" i="20"/>
  <c r="B132" i="22"/>
  <c r="I135" i="3"/>
  <c r="H135" i="3"/>
  <c r="H136" i="23"/>
  <c r="I136" i="23"/>
  <c r="H131" i="22"/>
  <c r="I131" i="22"/>
  <c r="E136" i="3"/>
  <c r="F136" i="3" s="1"/>
  <c r="E137" i="23"/>
  <c r="F137" i="23" s="1"/>
  <c r="E132" i="22"/>
  <c r="F132" i="22" s="1"/>
  <c r="D131" i="40" l="1"/>
  <c r="G130" i="40"/>
  <c r="I130" i="40" s="1"/>
  <c r="B135" i="41"/>
  <c r="G137" i="39"/>
  <c r="I137" i="39" s="1"/>
  <c r="D138" i="39"/>
  <c r="H130" i="40"/>
  <c r="E135" i="41"/>
  <c r="F135" i="41" s="1"/>
  <c r="G132" i="26"/>
  <c r="D133" i="26"/>
  <c r="B133" i="26" s="1"/>
  <c r="I72" i="20"/>
  <c r="D49" i="13"/>
  <c r="J132" i="28"/>
  <c r="F73" i="20"/>
  <c r="E74" i="20"/>
  <c r="J134" i="18"/>
  <c r="G48" i="13"/>
  <c r="J131" i="26"/>
  <c r="H48" i="13"/>
  <c r="D136" i="18"/>
  <c r="B136" i="18" s="1"/>
  <c r="G135" i="18"/>
  <c r="G136" i="4"/>
  <c r="D137" i="4"/>
  <c r="J128" i="35"/>
  <c r="J135" i="4"/>
  <c r="G129" i="35"/>
  <c r="D130" i="35"/>
  <c r="J136" i="23"/>
  <c r="G129" i="31"/>
  <c r="D130" i="31"/>
  <c r="H131" i="25"/>
  <c r="I131" i="25"/>
  <c r="E132" i="25"/>
  <c r="F132" i="25" s="1"/>
  <c r="B132" i="25"/>
  <c r="J128" i="31"/>
  <c r="G128" i="37"/>
  <c r="D129" i="37"/>
  <c r="J127" i="37"/>
  <c r="G135" i="19"/>
  <c r="D136" i="19"/>
  <c r="J128" i="20"/>
  <c r="F129" i="34"/>
  <c r="B129" i="34"/>
  <c r="I128" i="34"/>
  <c r="H128" i="34"/>
  <c r="I132" i="21"/>
  <c r="H132" i="21"/>
  <c r="F133" i="27"/>
  <c r="B133" i="27"/>
  <c r="I132" i="24"/>
  <c r="H132" i="24"/>
  <c r="I129" i="13"/>
  <c r="H129" i="13"/>
  <c r="B133" i="21"/>
  <c r="F133" i="21"/>
  <c r="H132" i="27"/>
  <c r="I132" i="27"/>
  <c r="B133" i="24"/>
  <c r="F133" i="24"/>
  <c r="B130" i="13"/>
  <c r="F130" i="13"/>
  <c r="J134" i="19"/>
  <c r="H128" i="38"/>
  <c r="I128" i="38"/>
  <c r="B129" i="38"/>
  <c r="G134" i="29"/>
  <c r="D135" i="29"/>
  <c r="E135" i="29" s="1"/>
  <c r="E129" i="38"/>
  <c r="F129" i="38" s="1"/>
  <c r="G132" i="22"/>
  <c r="D133" i="22"/>
  <c r="E133" i="22" s="1"/>
  <c r="G137" i="23"/>
  <c r="D138" i="23"/>
  <c r="E138" i="23" s="1"/>
  <c r="G129" i="20"/>
  <c r="D130" i="20"/>
  <c r="E130" i="20" s="1"/>
  <c r="G136" i="3"/>
  <c r="D137" i="3"/>
  <c r="E137" i="3" s="1"/>
  <c r="J135" i="3"/>
  <c r="J131" i="22"/>
  <c r="G135" i="41" l="1"/>
  <c r="I135" i="41" s="1"/>
  <c r="D136" i="41"/>
  <c r="E136" i="41" s="1"/>
  <c r="F136" i="41" s="1"/>
  <c r="H135" i="41"/>
  <c r="E138" i="39"/>
  <c r="B138" i="39"/>
  <c r="F138" i="39"/>
  <c r="J130" i="40"/>
  <c r="E131" i="40"/>
  <c r="B131" i="40"/>
  <c r="F131" i="40"/>
  <c r="E133" i="26"/>
  <c r="F133" i="26" s="1"/>
  <c r="H132" i="26"/>
  <c r="I132" i="26"/>
  <c r="I48" i="13"/>
  <c r="H73" i="20"/>
  <c r="G73" i="20"/>
  <c r="G74" i="20" s="1"/>
  <c r="B49" i="13"/>
  <c r="E49" i="13"/>
  <c r="F49" i="13" s="1"/>
  <c r="J132" i="27"/>
  <c r="E137" i="4"/>
  <c r="F137" i="4" s="1"/>
  <c r="B137" i="4"/>
  <c r="I136" i="4"/>
  <c r="H136" i="4"/>
  <c r="E136" i="18"/>
  <c r="F136" i="18" s="1"/>
  <c r="H135" i="18"/>
  <c r="I135" i="18"/>
  <c r="H129" i="35"/>
  <c r="I129" i="35"/>
  <c r="J131" i="25"/>
  <c r="J156" i="25" s="1"/>
  <c r="E130" i="35"/>
  <c r="F130" i="35" s="1"/>
  <c r="B130" i="35"/>
  <c r="E129" i="37"/>
  <c r="F129" i="37" s="1"/>
  <c r="B129" i="37"/>
  <c r="I128" i="37"/>
  <c r="H128" i="37"/>
  <c r="B134" i="28"/>
  <c r="D133" i="25"/>
  <c r="G132" i="25"/>
  <c r="B130" i="31"/>
  <c r="H129" i="31"/>
  <c r="I129" i="31"/>
  <c r="E130" i="31"/>
  <c r="F130" i="31" s="1"/>
  <c r="D130" i="38"/>
  <c r="E130" i="38" s="1"/>
  <c r="G129" i="38"/>
  <c r="J132" i="21"/>
  <c r="J128" i="34"/>
  <c r="H134" i="29"/>
  <c r="I134" i="29"/>
  <c r="G130" i="13"/>
  <c r="D131" i="13"/>
  <c r="E131" i="13" s="1"/>
  <c r="J129" i="13"/>
  <c r="G133" i="24"/>
  <c r="D134" i="24"/>
  <c r="E134" i="24" s="1"/>
  <c r="G133" i="21"/>
  <c r="D134" i="21"/>
  <c r="E134" i="21"/>
  <c r="J132" i="24"/>
  <c r="B136" i="19"/>
  <c r="G129" i="34"/>
  <c r="D130" i="34"/>
  <c r="E130" i="34" s="1"/>
  <c r="E136" i="19"/>
  <c r="F136" i="19" s="1"/>
  <c r="F135" i="29"/>
  <c r="J128" i="38"/>
  <c r="G133" i="27"/>
  <c r="D134" i="27"/>
  <c r="E134" i="27" s="1"/>
  <c r="I135" i="19"/>
  <c r="H135" i="19"/>
  <c r="F138" i="23"/>
  <c r="H137" i="23"/>
  <c r="I137" i="23"/>
  <c r="B137" i="3"/>
  <c r="F137" i="3"/>
  <c r="H136" i="3"/>
  <c r="I136" i="3"/>
  <c r="F133" i="22"/>
  <c r="B133" i="22"/>
  <c r="H129" i="20"/>
  <c r="I129" i="20"/>
  <c r="B130" i="20"/>
  <c r="F130" i="20"/>
  <c r="I132" i="22"/>
  <c r="H132" i="22"/>
  <c r="H131" i="40" l="1"/>
  <c r="G131" i="40"/>
  <c r="I131" i="40" s="1"/>
  <c r="D132" i="40"/>
  <c r="D139" i="39"/>
  <c r="G138" i="39"/>
  <c r="I138" i="39" s="1"/>
  <c r="D137" i="41"/>
  <c r="G136" i="41"/>
  <c r="I136" i="41" s="1"/>
  <c r="H138" i="39"/>
  <c r="H136" i="41"/>
  <c r="B136" i="41"/>
  <c r="D134" i="26"/>
  <c r="G133" i="26"/>
  <c r="J132" i="26"/>
  <c r="J133" i="28"/>
  <c r="J129" i="35"/>
  <c r="J137" i="23"/>
  <c r="D50" i="13"/>
  <c r="E50" i="13" s="1"/>
  <c r="H49" i="13"/>
  <c r="G49" i="13"/>
  <c r="J135" i="18"/>
  <c r="J129" i="31"/>
  <c r="I73" i="20"/>
  <c r="I74" i="20" s="1"/>
  <c r="H74" i="20"/>
  <c r="J136" i="3"/>
  <c r="G130" i="35"/>
  <c r="D131" i="35"/>
  <c r="E131" i="35" s="1"/>
  <c r="G136" i="18"/>
  <c r="D137" i="18"/>
  <c r="J136" i="4"/>
  <c r="D138" i="4"/>
  <c r="G137" i="4"/>
  <c r="G130" i="31"/>
  <c r="D131" i="31"/>
  <c r="E131" i="31" s="1"/>
  <c r="H132" i="25"/>
  <c r="I132" i="25"/>
  <c r="J128" i="37"/>
  <c r="E133" i="25"/>
  <c r="F133" i="25" s="1"/>
  <c r="B133" i="25"/>
  <c r="D130" i="37"/>
  <c r="E130" i="37" s="1"/>
  <c r="G129" i="37"/>
  <c r="J132" i="22"/>
  <c r="D137" i="19"/>
  <c r="E137" i="19" s="1"/>
  <c r="G136" i="19"/>
  <c r="H133" i="27"/>
  <c r="I133" i="27"/>
  <c r="B130" i="34"/>
  <c r="F130" i="34"/>
  <c r="J135" i="19"/>
  <c r="G135" i="29"/>
  <c r="D136" i="29"/>
  <c r="E136" i="29" s="1"/>
  <c r="I129" i="34"/>
  <c r="H129" i="34"/>
  <c r="F134" i="24"/>
  <c r="B134" i="24"/>
  <c r="B134" i="21"/>
  <c r="F134" i="21"/>
  <c r="H133" i="24"/>
  <c r="I133" i="24"/>
  <c r="I133" i="21"/>
  <c r="H133" i="21"/>
  <c r="H129" i="38"/>
  <c r="I129" i="38"/>
  <c r="F131" i="13"/>
  <c r="B131" i="13"/>
  <c r="J129" i="20"/>
  <c r="B134" i="27"/>
  <c r="F134" i="27"/>
  <c r="H130" i="13"/>
  <c r="I130" i="13"/>
  <c r="F130" i="38"/>
  <c r="B130" i="38"/>
  <c r="G138" i="23"/>
  <c r="D139" i="23"/>
  <c r="E139" i="23" s="1"/>
  <c r="D131" i="20"/>
  <c r="E131" i="20" s="1"/>
  <c r="G130" i="20"/>
  <c r="G133" i="22"/>
  <c r="D134" i="22"/>
  <c r="E134" i="22" s="1"/>
  <c r="D138" i="3"/>
  <c r="G137" i="3"/>
  <c r="J131" i="40" l="1"/>
  <c r="J156" i="40" s="1"/>
  <c r="B139" i="39"/>
  <c r="B137" i="41"/>
  <c r="E132" i="40"/>
  <c r="F132" i="40" s="1"/>
  <c r="B132" i="40"/>
  <c r="E139" i="39"/>
  <c r="F139" i="39" s="1"/>
  <c r="E137" i="41"/>
  <c r="F137" i="41" s="1"/>
  <c r="I133" i="26"/>
  <c r="H133" i="26"/>
  <c r="E134" i="26"/>
  <c r="F134" i="26" s="1"/>
  <c r="B134" i="26"/>
  <c r="I49" i="13"/>
  <c r="B50" i="13"/>
  <c r="F50" i="13"/>
  <c r="G50" i="13" s="1"/>
  <c r="J133" i="27"/>
  <c r="E137" i="18"/>
  <c r="F137" i="18" s="1"/>
  <c r="B137" i="18"/>
  <c r="H137" i="4"/>
  <c r="I137" i="4"/>
  <c r="I136" i="18"/>
  <c r="H136" i="18"/>
  <c r="E138" i="4"/>
  <c r="F138" i="4" s="1"/>
  <c r="B138" i="4"/>
  <c r="B131" i="35"/>
  <c r="F131" i="35"/>
  <c r="J130" i="13"/>
  <c r="J133" i="24"/>
  <c r="I130" i="35"/>
  <c r="H130" i="35"/>
  <c r="G133" i="25"/>
  <c r="D134" i="25"/>
  <c r="E134" i="25" s="1"/>
  <c r="H129" i="37"/>
  <c r="I129" i="37"/>
  <c r="F130" i="37"/>
  <c r="B130" i="37"/>
  <c r="B131" i="31"/>
  <c r="F131" i="31"/>
  <c r="H130" i="31"/>
  <c r="I130" i="31"/>
  <c r="B135" i="28"/>
  <c r="J129" i="38"/>
  <c r="D131" i="34"/>
  <c r="E131" i="34" s="1"/>
  <c r="G130" i="34"/>
  <c r="G131" i="13"/>
  <c r="D132" i="13"/>
  <c r="E132" i="13" s="1"/>
  <c r="G134" i="21"/>
  <c r="D135" i="21"/>
  <c r="E135" i="21" s="1"/>
  <c r="J129" i="34"/>
  <c r="G134" i="24"/>
  <c r="D135" i="24"/>
  <c r="E135" i="24" s="1"/>
  <c r="H136" i="19"/>
  <c r="I136" i="19"/>
  <c r="D135" i="27"/>
  <c r="G134" i="27"/>
  <c r="G130" i="38"/>
  <c r="D131" i="38"/>
  <c r="E131" i="38" s="1"/>
  <c r="F136" i="29"/>
  <c r="J133" i="21"/>
  <c r="H135" i="29"/>
  <c r="I135" i="29"/>
  <c r="B137" i="19"/>
  <c r="F137" i="19"/>
  <c r="H138" i="23"/>
  <c r="I138" i="23"/>
  <c r="H133" i="22"/>
  <c r="I133" i="22"/>
  <c r="B138" i="3"/>
  <c r="I130" i="20"/>
  <c r="H130" i="20"/>
  <c r="F134" i="22"/>
  <c r="B134" i="22"/>
  <c r="E138" i="3"/>
  <c r="F138" i="3" s="1"/>
  <c r="F131" i="20"/>
  <c r="B131" i="20"/>
  <c r="H137" i="3"/>
  <c r="I137" i="3"/>
  <c r="F139" i="23"/>
  <c r="D133" i="40" l="1"/>
  <c r="G132" i="40"/>
  <c r="I132" i="40" s="1"/>
  <c r="H132" i="40"/>
  <c r="G137" i="41"/>
  <c r="I137" i="41" s="1"/>
  <c r="D138" i="41"/>
  <c r="E138" i="41" s="1"/>
  <c r="F138" i="41" s="1"/>
  <c r="H137" i="41"/>
  <c r="G139" i="39"/>
  <c r="I139" i="39" s="1"/>
  <c r="D140" i="39"/>
  <c r="E140" i="39" s="1"/>
  <c r="F140" i="39" s="1"/>
  <c r="H139" i="39"/>
  <c r="J137" i="4"/>
  <c r="D135" i="26"/>
  <c r="B135" i="26" s="1"/>
  <c r="G134" i="26"/>
  <c r="J133" i="26"/>
  <c r="D51" i="13"/>
  <c r="H50" i="13"/>
  <c r="I50" i="13" s="1"/>
  <c r="J134" i="28"/>
  <c r="J130" i="35"/>
  <c r="J136" i="18"/>
  <c r="J129" i="37"/>
  <c r="D139" i="4"/>
  <c r="B139" i="4" s="1"/>
  <c r="G138" i="4"/>
  <c r="D132" i="35"/>
  <c r="G131" i="35"/>
  <c r="J130" i="31"/>
  <c r="D138" i="18"/>
  <c r="G137" i="18"/>
  <c r="G130" i="37"/>
  <c r="D131" i="37"/>
  <c r="B134" i="25"/>
  <c r="F134" i="25"/>
  <c r="D132" i="31"/>
  <c r="G131" i="31"/>
  <c r="H133" i="25"/>
  <c r="I133" i="25"/>
  <c r="J133" i="22"/>
  <c r="J138" i="23"/>
  <c r="J136" i="19"/>
  <c r="G136" i="29"/>
  <c r="D137" i="29"/>
  <c r="F135" i="24"/>
  <c r="B135" i="24"/>
  <c r="I130" i="34"/>
  <c r="H130" i="34"/>
  <c r="H134" i="24"/>
  <c r="I134" i="24"/>
  <c r="B132" i="13"/>
  <c r="F132" i="13"/>
  <c r="B131" i="34"/>
  <c r="F131" i="34"/>
  <c r="B135" i="27"/>
  <c r="H131" i="13"/>
  <c r="I131" i="13"/>
  <c r="H130" i="38"/>
  <c r="I130" i="38"/>
  <c r="B135" i="21"/>
  <c r="F135" i="21"/>
  <c r="F131" i="38"/>
  <c r="B131" i="38"/>
  <c r="E135" i="27"/>
  <c r="F135" i="27" s="1"/>
  <c r="H134" i="21"/>
  <c r="I134" i="21"/>
  <c r="D138" i="19"/>
  <c r="E138" i="19" s="1"/>
  <c r="G137" i="19"/>
  <c r="J137" i="3"/>
  <c r="H134" i="27"/>
  <c r="I134" i="27"/>
  <c r="G138" i="3"/>
  <c r="D139" i="3"/>
  <c r="E139" i="3" s="1"/>
  <c r="D140" i="23"/>
  <c r="E140" i="23" s="1"/>
  <c r="G139" i="23"/>
  <c r="D135" i="22"/>
  <c r="E135" i="22" s="1"/>
  <c r="G134" i="22"/>
  <c r="D132" i="20"/>
  <c r="G131" i="20"/>
  <c r="J130" i="20"/>
  <c r="G140" i="39" l="1"/>
  <c r="I140" i="39" s="1"/>
  <c r="D141" i="39"/>
  <c r="E141" i="39"/>
  <c r="F141" i="39" s="1"/>
  <c r="G138" i="41"/>
  <c r="I138" i="41" s="1"/>
  <c r="D139" i="41"/>
  <c r="E139" i="41" s="1"/>
  <c r="F139" i="41" s="1"/>
  <c r="B140" i="39"/>
  <c r="H140" i="39"/>
  <c r="B138" i="41"/>
  <c r="H138" i="41"/>
  <c r="E133" i="40"/>
  <c r="F133" i="40" s="1"/>
  <c r="B133" i="40"/>
  <c r="E135" i="26"/>
  <c r="F135" i="26" s="1"/>
  <c r="J134" i="21"/>
  <c r="I134" i="26"/>
  <c r="H134" i="26"/>
  <c r="B51" i="13"/>
  <c r="E51" i="13"/>
  <c r="F51" i="13" s="1"/>
  <c r="E132" i="35"/>
  <c r="F132" i="35" s="1"/>
  <c r="B132" i="35"/>
  <c r="I138" i="4"/>
  <c r="H138" i="4"/>
  <c r="H137" i="18"/>
  <c r="I137" i="18"/>
  <c r="E138" i="18"/>
  <c r="F138" i="18" s="1"/>
  <c r="B138" i="18"/>
  <c r="J134" i="27"/>
  <c r="H131" i="35"/>
  <c r="I131" i="35"/>
  <c r="E139" i="4"/>
  <c r="F139" i="4" s="1"/>
  <c r="I131" i="31"/>
  <c r="H131" i="31"/>
  <c r="E132" i="31"/>
  <c r="F132" i="31" s="1"/>
  <c r="B132" i="31"/>
  <c r="G134" i="25"/>
  <c r="D135" i="25"/>
  <c r="B136" i="28"/>
  <c r="E131" i="37"/>
  <c r="F131" i="37" s="1"/>
  <c r="B131" i="37"/>
  <c r="H130" i="37"/>
  <c r="I130" i="37"/>
  <c r="J130" i="38"/>
  <c r="J131" i="13"/>
  <c r="J156" i="13" s="1"/>
  <c r="J134" i="24"/>
  <c r="I136" i="29"/>
  <c r="H136" i="29"/>
  <c r="G131" i="38"/>
  <c r="D132" i="38"/>
  <c r="H137" i="19"/>
  <c r="I137" i="19"/>
  <c r="G135" i="27"/>
  <c r="D136" i="27"/>
  <c r="E136" i="27" s="1"/>
  <c r="B138" i="19"/>
  <c r="F138" i="19"/>
  <c r="J130" i="34"/>
  <c r="D132" i="34"/>
  <c r="E132" i="34" s="1"/>
  <c r="G131" i="34"/>
  <c r="G135" i="24"/>
  <c r="D136" i="24"/>
  <c r="E136" i="24" s="1"/>
  <c r="D136" i="21"/>
  <c r="E136" i="21" s="1"/>
  <c r="G135" i="21"/>
  <c r="D133" i="13"/>
  <c r="E133" i="13" s="1"/>
  <c r="G132" i="13"/>
  <c r="E137" i="29"/>
  <c r="F137" i="29" s="1"/>
  <c r="F140" i="23"/>
  <c r="B139" i="3"/>
  <c r="F139" i="3"/>
  <c r="H138" i="3"/>
  <c r="I138" i="3"/>
  <c r="H134" i="22"/>
  <c r="I134" i="22"/>
  <c r="I131" i="20"/>
  <c r="H131" i="20"/>
  <c r="B132" i="20"/>
  <c r="F135" i="22"/>
  <c r="B135" i="22"/>
  <c r="E132" i="20"/>
  <c r="F132" i="20" s="1"/>
  <c r="I139" i="23"/>
  <c r="H139" i="23"/>
  <c r="G133" i="40" l="1"/>
  <c r="I133" i="40" s="1"/>
  <c r="D134" i="40"/>
  <c r="E134" i="40" s="1"/>
  <c r="H133" i="40"/>
  <c r="D142" i="39"/>
  <c r="E142" i="39" s="1"/>
  <c r="G141" i="39"/>
  <c r="I141" i="39" s="1"/>
  <c r="G139" i="41"/>
  <c r="I139" i="41" s="1"/>
  <c r="D140" i="41"/>
  <c r="E140" i="41" s="1"/>
  <c r="F140" i="41" s="1"/>
  <c r="B141" i="39"/>
  <c r="H141" i="39"/>
  <c r="B139" i="41"/>
  <c r="H139" i="41"/>
  <c r="J134" i="26"/>
  <c r="G135" i="26"/>
  <c r="D136" i="26"/>
  <c r="B136" i="26" s="1"/>
  <c r="J137" i="19"/>
  <c r="D52" i="13"/>
  <c r="E52" i="13" s="1"/>
  <c r="H51" i="13"/>
  <c r="G51" i="13"/>
  <c r="J138" i="4"/>
  <c r="D139" i="18"/>
  <c r="B139" i="18" s="1"/>
  <c r="G138" i="18"/>
  <c r="J137" i="18"/>
  <c r="G139" i="4"/>
  <c r="D140" i="4"/>
  <c r="J130" i="37"/>
  <c r="J131" i="35"/>
  <c r="J156" i="35" s="1"/>
  <c r="G132" i="35"/>
  <c r="D133" i="35"/>
  <c r="G131" i="37"/>
  <c r="D132" i="37"/>
  <c r="B135" i="25"/>
  <c r="E135" i="25"/>
  <c r="F135" i="25" s="1"/>
  <c r="H134" i="25"/>
  <c r="I134" i="25"/>
  <c r="D133" i="31"/>
  <c r="E133" i="31" s="1"/>
  <c r="G132" i="31"/>
  <c r="J135" i="28"/>
  <c r="J131" i="31"/>
  <c r="J134" i="22"/>
  <c r="G137" i="29"/>
  <c r="D138" i="29"/>
  <c r="E138" i="29" s="1"/>
  <c r="I131" i="34"/>
  <c r="H131" i="34"/>
  <c r="B132" i="38"/>
  <c r="F132" i="34"/>
  <c r="B132" i="34"/>
  <c r="G138" i="19"/>
  <c r="D139" i="19"/>
  <c r="H131" i="38"/>
  <c r="I131" i="38"/>
  <c r="B133" i="13"/>
  <c r="F133" i="13"/>
  <c r="B136" i="21"/>
  <c r="F136" i="21"/>
  <c r="E132" i="38"/>
  <c r="F132" i="38" s="1"/>
  <c r="I135" i="24"/>
  <c r="H135" i="24"/>
  <c r="H135" i="21"/>
  <c r="I135" i="21"/>
  <c r="F136" i="27"/>
  <c r="B136" i="27"/>
  <c r="I132" i="13"/>
  <c r="H132" i="13"/>
  <c r="F136" i="24"/>
  <c r="B136" i="24"/>
  <c r="H135" i="27"/>
  <c r="I135" i="27"/>
  <c r="G132" i="20"/>
  <c r="D133" i="20"/>
  <c r="E133" i="20" s="1"/>
  <c r="G139" i="3"/>
  <c r="D140" i="3"/>
  <c r="J139" i="23"/>
  <c r="J131" i="20"/>
  <c r="G135" i="22"/>
  <c r="D136" i="22"/>
  <c r="J138" i="3"/>
  <c r="D141" i="23"/>
  <c r="E141" i="23" s="1"/>
  <c r="G140" i="23"/>
  <c r="D141" i="41" l="1"/>
  <c r="E141" i="41" s="1"/>
  <c r="G140" i="41"/>
  <c r="I140" i="41" s="1"/>
  <c r="F134" i="40"/>
  <c r="B134" i="40"/>
  <c r="H140" i="41"/>
  <c r="B140" i="41"/>
  <c r="B142" i="39"/>
  <c r="F142" i="39"/>
  <c r="E136" i="26"/>
  <c r="F136" i="26" s="1"/>
  <c r="H135" i="26"/>
  <c r="I135" i="26"/>
  <c r="E139" i="18"/>
  <c r="F139" i="18" s="1"/>
  <c r="J131" i="38"/>
  <c r="J156" i="38" s="1"/>
  <c r="I51" i="13"/>
  <c r="B52" i="13"/>
  <c r="F52" i="13"/>
  <c r="G52" i="13" s="1"/>
  <c r="B140" i="4"/>
  <c r="E140" i="4"/>
  <c r="F140" i="4" s="1"/>
  <c r="H139" i="4"/>
  <c r="I139" i="4"/>
  <c r="J135" i="24"/>
  <c r="E133" i="35"/>
  <c r="F133" i="35" s="1"/>
  <c r="B133" i="35"/>
  <c r="H138" i="18"/>
  <c r="I138" i="18"/>
  <c r="H132" i="35"/>
  <c r="I132" i="35"/>
  <c r="G135" i="25"/>
  <c r="D136" i="25"/>
  <c r="B132" i="37"/>
  <c r="H132" i="31"/>
  <c r="I132" i="31"/>
  <c r="E132" i="37"/>
  <c r="F132" i="37" s="1"/>
  <c r="H131" i="37"/>
  <c r="I131" i="37"/>
  <c r="B133" i="31"/>
  <c r="F133" i="31"/>
  <c r="B137" i="28"/>
  <c r="J131" i="34"/>
  <c r="J156" i="34" s="1"/>
  <c r="J135" i="27"/>
  <c r="D133" i="38"/>
  <c r="E133" i="38" s="1"/>
  <c r="G132" i="38"/>
  <c r="B139" i="19"/>
  <c r="F138" i="29"/>
  <c r="D137" i="27"/>
  <c r="G136" i="27"/>
  <c r="D137" i="21"/>
  <c r="E137" i="21" s="1"/>
  <c r="G136" i="21"/>
  <c r="E139" i="19"/>
  <c r="F139" i="19" s="1"/>
  <c r="H137" i="29"/>
  <c r="I137" i="29"/>
  <c r="H138" i="19"/>
  <c r="I138" i="19"/>
  <c r="G136" i="24"/>
  <c r="D137" i="24"/>
  <c r="E137" i="24" s="1"/>
  <c r="G133" i="13"/>
  <c r="D134" i="13"/>
  <c r="E134" i="13" s="1"/>
  <c r="D133" i="34"/>
  <c r="G132" i="34"/>
  <c r="J135" i="21"/>
  <c r="B140" i="3"/>
  <c r="B133" i="20"/>
  <c r="F133" i="20"/>
  <c r="H132" i="20"/>
  <c r="I132" i="20"/>
  <c r="H139" i="3"/>
  <c r="I139" i="3"/>
  <c r="B136" i="22"/>
  <c r="I135" i="22"/>
  <c r="H135" i="22"/>
  <c r="H140" i="23"/>
  <c r="I140" i="23"/>
  <c r="F141" i="23"/>
  <c r="E140" i="3"/>
  <c r="F140" i="3" s="1"/>
  <c r="E136" i="22"/>
  <c r="F136" i="22" s="1"/>
  <c r="G134" i="40" l="1"/>
  <c r="I134" i="40" s="1"/>
  <c r="D135" i="40"/>
  <c r="G142" i="39"/>
  <c r="I142" i="39" s="1"/>
  <c r="D143" i="39"/>
  <c r="H142" i="39"/>
  <c r="H134" i="40"/>
  <c r="F141" i="41"/>
  <c r="B141" i="41"/>
  <c r="J135" i="26"/>
  <c r="D137" i="26"/>
  <c r="G136" i="26"/>
  <c r="J132" i="20"/>
  <c r="G139" i="18"/>
  <c r="D140" i="18"/>
  <c r="J132" i="31"/>
  <c r="D53" i="13"/>
  <c r="E53" i="13" s="1"/>
  <c r="H52" i="13"/>
  <c r="I52" i="13" s="1"/>
  <c r="J139" i="4"/>
  <c r="D134" i="35"/>
  <c r="G133" i="35"/>
  <c r="J140" i="23"/>
  <c r="J139" i="3"/>
  <c r="J136" i="28"/>
  <c r="D141" i="4"/>
  <c r="G140" i="4"/>
  <c r="J138" i="18"/>
  <c r="G132" i="37"/>
  <c r="D133" i="37"/>
  <c r="E133" i="37" s="1"/>
  <c r="D134" i="31"/>
  <c r="G133" i="31"/>
  <c r="J138" i="19"/>
  <c r="E136" i="25"/>
  <c r="F136" i="25" s="1"/>
  <c r="B136" i="25"/>
  <c r="J131" i="37"/>
  <c r="J156" i="37" s="1"/>
  <c r="H135" i="25"/>
  <c r="I135" i="25"/>
  <c r="F137" i="24"/>
  <c r="B137" i="24"/>
  <c r="B137" i="27"/>
  <c r="H136" i="27"/>
  <c r="I136" i="27"/>
  <c r="H133" i="13"/>
  <c r="I133" i="13"/>
  <c r="H136" i="24"/>
  <c r="I136" i="24"/>
  <c r="B133" i="34"/>
  <c r="D139" i="29"/>
  <c r="E139" i="29" s="1"/>
  <c r="G138" i="29"/>
  <c r="I136" i="21"/>
  <c r="H136" i="21"/>
  <c r="F134" i="13"/>
  <c r="B134" i="13"/>
  <c r="E133" i="34"/>
  <c r="F133" i="34" s="1"/>
  <c r="B137" i="21"/>
  <c r="F137" i="21"/>
  <c r="H132" i="38"/>
  <c r="I132" i="38"/>
  <c r="G139" i="19"/>
  <c r="D140" i="19"/>
  <c r="H132" i="34"/>
  <c r="I132" i="34"/>
  <c r="E137" i="27"/>
  <c r="F137" i="27" s="1"/>
  <c r="F133" i="38"/>
  <c r="B133" i="38"/>
  <c r="G140" i="3"/>
  <c r="D141" i="3"/>
  <c r="E141" i="3" s="1"/>
  <c r="D142" i="23"/>
  <c r="E142" i="23" s="1"/>
  <c r="G141" i="23"/>
  <c r="G136" i="22"/>
  <c r="D137" i="22"/>
  <c r="E137" i="22" s="1"/>
  <c r="D134" i="20"/>
  <c r="G133" i="20"/>
  <c r="J135" i="22"/>
  <c r="D142" i="41" l="1"/>
  <c r="E142" i="41" s="1"/>
  <c r="F142" i="41" s="1"/>
  <c r="G141" i="41"/>
  <c r="I141" i="41" s="1"/>
  <c r="B143" i="39"/>
  <c r="H141" i="41"/>
  <c r="E135" i="40"/>
  <c r="F135" i="40" s="1"/>
  <c r="B135" i="40"/>
  <c r="E143" i="39"/>
  <c r="F143" i="39" s="1"/>
  <c r="I136" i="26"/>
  <c r="H136" i="26"/>
  <c r="E137" i="26"/>
  <c r="F137" i="26" s="1"/>
  <c r="B137" i="26"/>
  <c r="B140" i="18"/>
  <c r="E140" i="18"/>
  <c r="F140" i="18" s="1"/>
  <c r="H139" i="18"/>
  <c r="I139" i="18"/>
  <c r="F53" i="13"/>
  <c r="G53" i="13" s="1"/>
  <c r="B53" i="13"/>
  <c r="H140" i="4"/>
  <c r="I140" i="4"/>
  <c r="B141" i="4"/>
  <c r="E141" i="4"/>
  <c r="F141" i="4" s="1"/>
  <c r="I133" i="35"/>
  <c r="H133" i="35"/>
  <c r="J136" i="24"/>
  <c r="E134" i="35"/>
  <c r="F134" i="35" s="1"/>
  <c r="B134" i="35"/>
  <c r="J136" i="27"/>
  <c r="I133" i="31"/>
  <c r="H133" i="31"/>
  <c r="E134" i="31"/>
  <c r="F134" i="31" s="1"/>
  <c r="B134" i="31"/>
  <c r="B138" i="28"/>
  <c r="G136" i="25"/>
  <c r="D137" i="25"/>
  <c r="B133" i="37"/>
  <c r="F133" i="37"/>
  <c r="H132" i="37"/>
  <c r="I132" i="37"/>
  <c r="G133" i="34"/>
  <c r="D134" i="34"/>
  <c r="E134" i="34" s="1"/>
  <c r="G137" i="27"/>
  <c r="D138" i="27"/>
  <c r="E138" i="27" s="1"/>
  <c r="H139" i="19"/>
  <c r="I139" i="19"/>
  <c r="J136" i="21"/>
  <c r="G137" i="24"/>
  <c r="D138" i="24"/>
  <c r="E138" i="24" s="1"/>
  <c r="B140" i="19"/>
  <c r="E140" i="19"/>
  <c r="F140" i="19" s="1"/>
  <c r="D138" i="21"/>
  <c r="E138" i="21" s="1"/>
  <c r="G137" i="21"/>
  <c r="H138" i="29"/>
  <c r="I138" i="29"/>
  <c r="G133" i="38"/>
  <c r="D134" i="38"/>
  <c r="F139" i="29"/>
  <c r="D135" i="13"/>
  <c r="E135" i="13" s="1"/>
  <c r="G134" i="13"/>
  <c r="B134" i="20"/>
  <c r="H136" i="22"/>
  <c r="I136" i="22"/>
  <c r="F137" i="22"/>
  <c r="B137" i="22"/>
  <c r="H133" i="20"/>
  <c r="I133" i="20"/>
  <c r="B141" i="3"/>
  <c r="F141" i="3"/>
  <c r="H141" i="23"/>
  <c r="I141" i="23"/>
  <c r="F142" i="23"/>
  <c r="E134" i="20"/>
  <c r="F134" i="20" s="1"/>
  <c r="H140" i="3"/>
  <c r="I140" i="3"/>
  <c r="G135" i="40" l="1"/>
  <c r="I135" i="40" s="1"/>
  <c r="D136" i="40"/>
  <c r="H135" i="40"/>
  <c r="D144" i="39"/>
  <c r="G143" i="39"/>
  <c r="I143" i="39" s="1"/>
  <c r="G142" i="41"/>
  <c r="I142" i="41" s="1"/>
  <c r="D143" i="41"/>
  <c r="H143" i="39"/>
  <c r="B142" i="41"/>
  <c r="H142" i="41"/>
  <c r="D138" i="26"/>
  <c r="G137" i="26"/>
  <c r="J136" i="26"/>
  <c r="J140" i="4"/>
  <c r="J139" i="18"/>
  <c r="D141" i="18"/>
  <c r="G140" i="18"/>
  <c r="D54" i="13"/>
  <c r="H53" i="13"/>
  <c r="I53" i="13" s="1"/>
  <c r="J139" i="19"/>
  <c r="G134" i="35"/>
  <c r="D135" i="35"/>
  <c r="D142" i="4"/>
  <c r="G141" i="4"/>
  <c r="J137" i="28"/>
  <c r="J141" i="23"/>
  <c r="D134" i="37"/>
  <c r="G133" i="37"/>
  <c r="G134" i="31"/>
  <c r="D135" i="31"/>
  <c r="E137" i="25"/>
  <c r="F137" i="25" s="1"/>
  <c r="B137" i="25"/>
  <c r="H136" i="25"/>
  <c r="I136" i="25"/>
  <c r="J133" i="31"/>
  <c r="D141" i="19"/>
  <c r="E141" i="19" s="1"/>
  <c r="G140" i="19"/>
  <c r="H134" i="13"/>
  <c r="I134" i="13"/>
  <c r="B138" i="24"/>
  <c r="F138" i="24"/>
  <c r="J136" i="22"/>
  <c r="B135" i="13"/>
  <c r="F135" i="13"/>
  <c r="I137" i="24"/>
  <c r="H137" i="24"/>
  <c r="F138" i="27"/>
  <c r="B138" i="27"/>
  <c r="G139" i="29"/>
  <c r="D140" i="29"/>
  <c r="E140" i="29" s="1"/>
  <c r="J133" i="20"/>
  <c r="B134" i="38"/>
  <c r="H137" i="27"/>
  <c r="I137" i="27"/>
  <c r="H133" i="38"/>
  <c r="I133" i="38"/>
  <c r="E134" i="38"/>
  <c r="F134" i="38" s="1"/>
  <c r="H137" i="21"/>
  <c r="I137" i="21"/>
  <c r="B134" i="34"/>
  <c r="F134" i="34"/>
  <c r="B138" i="21"/>
  <c r="F138" i="21"/>
  <c r="H133" i="34"/>
  <c r="I133" i="34"/>
  <c r="G134" i="20"/>
  <c r="D135" i="20"/>
  <c r="E135" i="20" s="1"/>
  <c r="D143" i="23"/>
  <c r="E143" i="23" s="1"/>
  <c r="G142" i="23"/>
  <c r="G141" i="3"/>
  <c r="D142" i="3"/>
  <c r="J140" i="3"/>
  <c r="D138" i="22"/>
  <c r="E138" i="22" s="1"/>
  <c r="G137" i="22"/>
  <c r="B143" i="41" l="1"/>
  <c r="B144" i="39"/>
  <c r="E144" i="39"/>
  <c r="F144" i="39" s="1"/>
  <c r="H144" i="39" s="1"/>
  <c r="E136" i="40"/>
  <c r="F136" i="40" s="1"/>
  <c r="B136" i="40"/>
  <c r="E143" i="41"/>
  <c r="F143" i="41" s="1"/>
  <c r="H143" i="41" s="1"/>
  <c r="I137" i="26"/>
  <c r="H137" i="26"/>
  <c r="E138" i="26"/>
  <c r="F138" i="26" s="1"/>
  <c r="B138" i="26"/>
  <c r="I140" i="18"/>
  <c r="H140" i="18"/>
  <c r="E141" i="18"/>
  <c r="F141" i="18" s="1"/>
  <c r="B141" i="18"/>
  <c r="B54" i="13"/>
  <c r="E54" i="13"/>
  <c r="F54" i="13" s="1"/>
  <c r="I141" i="4"/>
  <c r="H141" i="4"/>
  <c r="B142" i="4"/>
  <c r="E142" i="4"/>
  <c r="F142" i="4" s="1"/>
  <c r="E135" i="35"/>
  <c r="F135" i="35" s="1"/>
  <c r="B135" i="35"/>
  <c r="H134" i="35"/>
  <c r="I134" i="35"/>
  <c r="G137" i="25"/>
  <c r="D138" i="25"/>
  <c r="B139" i="28"/>
  <c r="E135" i="31"/>
  <c r="F135" i="31" s="1"/>
  <c r="B135" i="31"/>
  <c r="H134" i="31"/>
  <c r="I134" i="31"/>
  <c r="H133" i="37"/>
  <c r="I133" i="37"/>
  <c r="E134" i="37"/>
  <c r="F134" i="37" s="1"/>
  <c r="B134" i="37"/>
  <c r="D135" i="34"/>
  <c r="E135" i="34" s="1"/>
  <c r="G134" i="34"/>
  <c r="D139" i="27"/>
  <c r="E139" i="27" s="1"/>
  <c r="G138" i="27"/>
  <c r="D136" i="13"/>
  <c r="E136" i="13" s="1"/>
  <c r="G135" i="13"/>
  <c r="G138" i="21"/>
  <c r="D139" i="21"/>
  <c r="E139" i="21" s="1"/>
  <c r="G134" i="38"/>
  <c r="D135" i="38"/>
  <c r="E135" i="38" s="1"/>
  <c r="H140" i="19"/>
  <c r="I140" i="19"/>
  <c r="J137" i="24"/>
  <c r="D139" i="24"/>
  <c r="E139" i="24" s="1"/>
  <c r="G138" i="24"/>
  <c r="H139" i="29"/>
  <c r="I139" i="29"/>
  <c r="J137" i="21"/>
  <c r="J137" i="27"/>
  <c r="F140" i="29"/>
  <c r="B141" i="19"/>
  <c r="F141" i="19"/>
  <c r="B135" i="20"/>
  <c r="F135" i="20"/>
  <c r="I141" i="3"/>
  <c r="H141" i="3"/>
  <c r="H142" i="23"/>
  <c r="I142" i="23"/>
  <c r="H134" i="20"/>
  <c r="I134" i="20"/>
  <c r="B142" i="3"/>
  <c r="E142" i="3"/>
  <c r="F142" i="3" s="1"/>
  <c r="F143" i="23"/>
  <c r="H137" i="22"/>
  <c r="I137" i="22"/>
  <c r="B138" i="22"/>
  <c r="F138" i="22"/>
  <c r="H136" i="40" l="1"/>
  <c r="D137" i="40"/>
  <c r="G136" i="40"/>
  <c r="I136" i="40" s="1"/>
  <c r="E137" i="40"/>
  <c r="D144" i="41"/>
  <c r="E144" i="41" s="1"/>
  <c r="F144" i="41" s="1"/>
  <c r="G143" i="41"/>
  <c r="I143" i="41" s="1"/>
  <c r="G144" i="39"/>
  <c r="I144" i="39" s="1"/>
  <c r="D145" i="39"/>
  <c r="E145" i="39" s="1"/>
  <c r="F145" i="39" s="1"/>
  <c r="J137" i="26"/>
  <c r="G138" i="26"/>
  <c r="D139" i="26"/>
  <c r="B139" i="26" s="1"/>
  <c r="J138" i="28"/>
  <c r="J134" i="31"/>
  <c r="G141" i="18"/>
  <c r="D142" i="18"/>
  <c r="J140" i="18"/>
  <c r="D55" i="13"/>
  <c r="H54" i="13"/>
  <c r="G54" i="13"/>
  <c r="J134" i="20"/>
  <c r="J137" i="22"/>
  <c r="D136" i="35"/>
  <c r="E136" i="35" s="1"/>
  <c r="G135" i="35"/>
  <c r="D143" i="4"/>
  <c r="G142" i="4"/>
  <c r="J142" i="23"/>
  <c r="J141" i="4"/>
  <c r="D135" i="37"/>
  <c r="G134" i="37"/>
  <c r="D136" i="31"/>
  <c r="G135" i="31"/>
  <c r="E138" i="25"/>
  <c r="F138" i="25" s="1"/>
  <c r="B138" i="25"/>
  <c r="H137" i="25"/>
  <c r="I137" i="25"/>
  <c r="J140" i="19"/>
  <c r="H134" i="38"/>
  <c r="I134" i="38"/>
  <c r="F136" i="13"/>
  <c r="B136" i="13"/>
  <c r="H134" i="34"/>
  <c r="I134" i="34"/>
  <c r="B135" i="34"/>
  <c r="F135" i="34"/>
  <c r="D142" i="19"/>
  <c r="E142" i="19" s="1"/>
  <c r="G141" i="19"/>
  <c r="G140" i="29"/>
  <c r="D141" i="29"/>
  <c r="E141" i="29" s="1"/>
  <c r="B139" i="21"/>
  <c r="F139" i="21"/>
  <c r="H138" i="24"/>
  <c r="I138" i="24"/>
  <c r="I138" i="21"/>
  <c r="H138" i="21"/>
  <c r="F139" i="27"/>
  <c r="B139" i="27"/>
  <c r="B139" i="24"/>
  <c r="F139" i="24"/>
  <c r="B135" i="38"/>
  <c r="F135" i="38"/>
  <c r="H135" i="13"/>
  <c r="I135" i="13"/>
  <c r="I138" i="27"/>
  <c r="H138" i="27"/>
  <c r="J141" i="3"/>
  <c r="G142" i="3"/>
  <c r="D143" i="3"/>
  <c r="G135" i="20"/>
  <c r="D136" i="20"/>
  <c r="E136" i="20" s="1"/>
  <c r="G143" i="23"/>
  <c r="D144" i="23"/>
  <c r="E144" i="23" s="1"/>
  <c r="G138" i="22"/>
  <c r="D139" i="22"/>
  <c r="D146" i="39" l="1"/>
  <c r="G145" i="39"/>
  <c r="I145" i="39" s="1"/>
  <c r="E146" i="39"/>
  <c r="F146" i="39" s="1"/>
  <c r="G144" i="41"/>
  <c r="I144" i="41" s="1"/>
  <c r="D145" i="41"/>
  <c r="E145" i="41" s="1"/>
  <c r="B137" i="40"/>
  <c r="F137" i="40"/>
  <c r="H137" i="40" s="1"/>
  <c r="H145" i="39"/>
  <c r="B145" i="39"/>
  <c r="H144" i="41"/>
  <c r="B144" i="41"/>
  <c r="E139" i="26"/>
  <c r="F139" i="26" s="1"/>
  <c r="H138" i="26"/>
  <c r="I138" i="26"/>
  <c r="E142" i="18"/>
  <c r="F142" i="18" s="1"/>
  <c r="B142" i="18"/>
  <c r="H141" i="18"/>
  <c r="I141" i="18"/>
  <c r="I54" i="13"/>
  <c r="B55" i="13"/>
  <c r="E55" i="13"/>
  <c r="F55" i="13" s="1"/>
  <c r="B143" i="4"/>
  <c r="E143" i="4"/>
  <c r="F143" i="4" s="1"/>
  <c r="I135" i="35"/>
  <c r="H135" i="35"/>
  <c r="I142" i="4"/>
  <c r="H142" i="4"/>
  <c r="F136" i="35"/>
  <c r="B136" i="35"/>
  <c r="B140" i="28"/>
  <c r="I135" i="31"/>
  <c r="H135" i="31"/>
  <c r="G138" i="25"/>
  <c r="D139" i="25"/>
  <c r="E139" i="25" s="1"/>
  <c r="E136" i="31"/>
  <c r="F136" i="31" s="1"/>
  <c r="B136" i="31"/>
  <c r="J138" i="24"/>
  <c r="H134" i="37"/>
  <c r="I134" i="37"/>
  <c r="E135" i="37"/>
  <c r="F135" i="37" s="1"/>
  <c r="B135" i="37"/>
  <c r="J138" i="21"/>
  <c r="J138" i="27"/>
  <c r="F141" i="29"/>
  <c r="D136" i="34"/>
  <c r="E136" i="34" s="1"/>
  <c r="G135" i="34"/>
  <c r="G135" i="38"/>
  <c r="D136" i="38"/>
  <c r="E136" i="38" s="1"/>
  <c r="I140" i="29"/>
  <c r="H140" i="29"/>
  <c r="D137" i="13"/>
  <c r="G136" i="13"/>
  <c r="G139" i="21"/>
  <c r="D140" i="21"/>
  <c r="E140" i="21" s="1"/>
  <c r="H141" i="19"/>
  <c r="I141" i="19"/>
  <c r="D140" i="24"/>
  <c r="E140" i="24" s="1"/>
  <c r="G139" i="24"/>
  <c r="G139" i="27"/>
  <c r="D140" i="27"/>
  <c r="E140" i="27" s="1"/>
  <c r="F142" i="19"/>
  <c r="B142" i="19"/>
  <c r="H142" i="3"/>
  <c r="I142" i="3"/>
  <c r="F136" i="20"/>
  <c r="B136" i="20"/>
  <c r="F144" i="23"/>
  <c r="B139" i="22"/>
  <c r="I135" i="20"/>
  <c r="H135" i="20"/>
  <c r="H143" i="23"/>
  <c r="I143" i="23"/>
  <c r="H138" i="22"/>
  <c r="I138" i="22"/>
  <c r="B143" i="3"/>
  <c r="E139" i="22"/>
  <c r="F139" i="22" s="1"/>
  <c r="E143" i="3"/>
  <c r="F143" i="3" s="1"/>
  <c r="G146" i="39" l="1"/>
  <c r="I146" i="39" s="1"/>
  <c r="D147" i="39"/>
  <c r="E147" i="39" s="1"/>
  <c r="F147" i="39" s="1"/>
  <c r="G137" i="40"/>
  <c r="I137" i="40" s="1"/>
  <c r="D138" i="40"/>
  <c r="F145" i="41"/>
  <c r="H145" i="41" s="1"/>
  <c r="B145" i="41"/>
  <c r="B146" i="39"/>
  <c r="H146" i="39"/>
  <c r="J138" i="26"/>
  <c r="G139" i="26"/>
  <c r="D140" i="26"/>
  <c r="J139" i="28"/>
  <c r="J141" i="18"/>
  <c r="G142" i="18"/>
  <c r="D143" i="18"/>
  <c r="D56" i="13"/>
  <c r="G55" i="13"/>
  <c r="H55" i="13"/>
  <c r="D137" i="35"/>
  <c r="G136" i="35"/>
  <c r="J142" i="4"/>
  <c r="J142" i="3"/>
  <c r="G143" i="4"/>
  <c r="D144" i="4"/>
  <c r="G135" i="37"/>
  <c r="D136" i="37"/>
  <c r="B136" i="37" s="1"/>
  <c r="J135" i="31"/>
  <c r="J141" i="19"/>
  <c r="G136" i="31"/>
  <c r="D137" i="31"/>
  <c r="B139" i="25"/>
  <c r="F139" i="25"/>
  <c r="I138" i="25"/>
  <c r="H138" i="25"/>
  <c r="B137" i="13"/>
  <c r="F136" i="38"/>
  <c r="B136" i="38"/>
  <c r="E137" i="13"/>
  <c r="F137" i="13" s="1"/>
  <c r="H135" i="38"/>
  <c r="I135" i="38"/>
  <c r="H136" i="13"/>
  <c r="I136" i="13"/>
  <c r="H135" i="34"/>
  <c r="I135" i="34"/>
  <c r="I139" i="27"/>
  <c r="H139" i="27"/>
  <c r="G142" i="19"/>
  <c r="D143" i="19"/>
  <c r="E143" i="19" s="1"/>
  <c r="I139" i="24"/>
  <c r="H139" i="24"/>
  <c r="B136" i="34"/>
  <c r="F136" i="34"/>
  <c r="F140" i="24"/>
  <c r="B140" i="24"/>
  <c r="B140" i="21"/>
  <c r="F140" i="21"/>
  <c r="G141" i="29"/>
  <c r="D142" i="29"/>
  <c r="F140" i="27"/>
  <c r="B140" i="27"/>
  <c r="I139" i="21"/>
  <c r="H139" i="21"/>
  <c r="D144" i="3"/>
  <c r="E144" i="3" s="1"/>
  <c r="G143" i="3"/>
  <c r="G139" i="22"/>
  <c r="D140" i="22"/>
  <c r="E140" i="22" s="1"/>
  <c r="D137" i="20"/>
  <c r="E137" i="20" s="1"/>
  <c r="G136" i="20"/>
  <c r="J135" i="20"/>
  <c r="J138" i="22"/>
  <c r="J143" i="23"/>
  <c r="G144" i="23"/>
  <c r="D145" i="23"/>
  <c r="E145" i="23" s="1"/>
  <c r="G147" i="39" l="1"/>
  <c r="I147" i="39" s="1"/>
  <c r="D148" i="39"/>
  <c r="E148" i="39" s="1"/>
  <c r="F148" i="39" s="1"/>
  <c r="G145" i="41"/>
  <c r="I145" i="41" s="1"/>
  <c r="D146" i="41"/>
  <c r="E146" i="41" s="1"/>
  <c r="F146" i="41" s="1"/>
  <c r="H147" i="39"/>
  <c r="B147" i="39"/>
  <c r="E138" i="40"/>
  <c r="F138" i="40" s="1"/>
  <c r="H138" i="40" s="1"/>
  <c r="B138" i="40"/>
  <c r="E140" i="26"/>
  <c r="F140" i="26" s="1"/>
  <c r="B140" i="26"/>
  <c r="H139" i="26"/>
  <c r="I139" i="26"/>
  <c r="I55" i="13"/>
  <c r="E143" i="18"/>
  <c r="F143" i="18" s="1"/>
  <c r="B143" i="18"/>
  <c r="I142" i="18"/>
  <c r="H142" i="18"/>
  <c r="B56" i="13"/>
  <c r="E56" i="13"/>
  <c r="F56" i="13" s="1"/>
  <c r="I143" i="4"/>
  <c r="H143" i="4"/>
  <c r="H136" i="35"/>
  <c r="I136" i="35"/>
  <c r="E144" i="4"/>
  <c r="F144" i="4" s="1"/>
  <c r="B144" i="4"/>
  <c r="E136" i="37"/>
  <c r="F136" i="37" s="1"/>
  <c r="E137" i="35"/>
  <c r="F137" i="35" s="1"/>
  <c r="B137" i="35"/>
  <c r="E137" i="31"/>
  <c r="F137" i="31" s="1"/>
  <c r="B137" i="31"/>
  <c r="H136" i="31"/>
  <c r="I136" i="31"/>
  <c r="D140" i="25"/>
  <c r="G139" i="25"/>
  <c r="B141" i="28"/>
  <c r="H135" i="37"/>
  <c r="I135" i="37"/>
  <c r="J139" i="27"/>
  <c r="J139" i="24"/>
  <c r="J139" i="21"/>
  <c r="I141" i="29"/>
  <c r="H141" i="29"/>
  <c r="D138" i="13"/>
  <c r="E138" i="13" s="1"/>
  <c r="G137" i="13"/>
  <c r="G140" i="27"/>
  <c r="D141" i="27"/>
  <c r="E141" i="27" s="1"/>
  <c r="D137" i="34"/>
  <c r="G136" i="34"/>
  <c r="I142" i="19"/>
  <c r="H142" i="19"/>
  <c r="G140" i="21"/>
  <c r="D141" i="21"/>
  <c r="E141" i="21" s="1"/>
  <c r="E142" i="29"/>
  <c r="F142" i="29" s="1"/>
  <c r="G140" i="24"/>
  <c r="D141" i="24"/>
  <c r="E141" i="24" s="1"/>
  <c r="F143" i="19"/>
  <c r="B143" i="19"/>
  <c r="G136" i="38"/>
  <c r="D137" i="38"/>
  <c r="E137" i="38" s="1"/>
  <c r="I136" i="20"/>
  <c r="H136" i="20"/>
  <c r="I139" i="22"/>
  <c r="H139" i="22"/>
  <c r="H144" i="23"/>
  <c r="I144" i="23"/>
  <c r="F145" i="23"/>
  <c r="F137" i="20"/>
  <c r="B137" i="20"/>
  <c r="H143" i="3"/>
  <c r="I143" i="3"/>
  <c r="F140" i="22"/>
  <c r="B140" i="22"/>
  <c r="B144" i="3"/>
  <c r="F144" i="3"/>
  <c r="G148" i="39" l="1"/>
  <c r="I148" i="39" s="1"/>
  <c r="D149" i="39"/>
  <c r="E149" i="39" s="1"/>
  <c r="G138" i="40"/>
  <c r="I138" i="40" s="1"/>
  <c r="D139" i="40"/>
  <c r="G146" i="41"/>
  <c r="I146" i="41" s="1"/>
  <c r="D147" i="41"/>
  <c r="E147" i="41" s="1"/>
  <c r="F147" i="41" s="1"/>
  <c r="H148" i="39"/>
  <c r="B148" i="39"/>
  <c r="B146" i="41"/>
  <c r="H146" i="41"/>
  <c r="D141" i="26"/>
  <c r="G140" i="26"/>
  <c r="J139" i="26"/>
  <c r="J136" i="31"/>
  <c r="J140" i="28"/>
  <c r="G143" i="18"/>
  <c r="D144" i="18"/>
  <c r="B144" i="18" s="1"/>
  <c r="J142" i="18"/>
  <c r="D57" i="13"/>
  <c r="E57" i="13" s="1"/>
  <c r="H56" i="13"/>
  <c r="G56" i="13"/>
  <c r="G144" i="4"/>
  <c r="D145" i="4"/>
  <c r="D137" i="37"/>
  <c r="G136" i="37"/>
  <c r="G137" i="35"/>
  <c r="D138" i="35"/>
  <c r="E138" i="35" s="1"/>
  <c r="J143" i="4"/>
  <c r="E140" i="25"/>
  <c r="F140" i="25" s="1"/>
  <c r="B140" i="25"/>
  <c r="G137" i="31"/>
  <c r="D138" i="31"/>
  <c r="E138" i="31" s="1"/>
  <c r="I139" i="25"/>
  <c r="H139" i="25"/>
  <c r="G142" i="29"/>
  <c r="D143" i="29"/>
  <c r="E143" i="29" s="1"/>
  <c r="B137" i="34"/>
  <c r="H137" i="13"/>
  <c r="I137" i="13"/>
  <c r="H136" i="38"/>
  <c r="I136" i="38"/>
  <c r="F141" i="21"/>
  <c r="B141" i="21"/>
  <c r="B141" i="27"/>
  <c r="F141" i="27"/>
  <c r="F138" i="13"/>
  <c r="B138" i="13"/>
  <c r="I140" i="21"/>
  <c r="H140" i="21"/>
  <c r="H140" i="27"/>
  <c r="I140" i="27"/>
  <c r="B137" i="38"/>
  <c r="F137" i="38"/>
  <c r="G143" i="19"/>
  <c r="D144" i="19"/>
  <c r="E144" i="19" s="1"/>
  <c r="J143" i="3"/>
  <c r="J142" i="19"/>
  <c r="B141" i="24"/>
  <c r="F141" i="24"/>
  <c r="E137" i="34"/>
  <c r="F137" i="34" s="1"/>
  <c r="J144" i="23"/>
  <c r="I140" i="24"/>
  <c r="H140" i="24"/>
  <c r="H136" i="34"/>
  <c r="I136" i="34"/>
  <c r="J139" i="22"/>
  <c r="G140" i="22"/>
  <c r="D141" i="22"/>
  <c r="E141" i="22" s="1"/>
  <c r="J136" i="20"/>
  <c r="G137" i="20"/>
  <c r="D138" i="20"/>
  <c r="E138" i="20" s="1"/>
  <c r="G144" i="3"/>
  <c r="D145" i="3"/>
  <c r="E145" i="3" s="1"/>
  <c r="G145" i="23"/>
  <c r="D146" i="23"/>
  <c r="E146" i="23" s="1"/>
  <c r="B147" i="41" l="1"/>
  <c r="H147" i="41"/>
  <c r="B149" i="39"/>
  <c r="F149" i="39"/>
  <c r="D148" i="41"/>
  <c r="E148" i="41" s="1"/>
  <c r="F148" i="41" s="1"/>
  <c r="G147" i="41"/>
  <c r="I147" i="41" s="1"/>
  <c r="E139" i="40"/>
  <c r="F139" i="40" s="1"/>
  <c r="H139" i="40" s="1"/>
  <c r="B139" i="40"/>
  <c r="H140" i="26"/>
  <c r="I140" i="26"/>
  <c r="E141" i="26"/>
  <c r="F141" i="26" s="1"/>
  <c r="B141" i="26"/>
  <c r="E144" i="18"/>
  <c r="F144" i="18" s="1"/>
  <c r="I143" i="18"/>
  <c r="H143" i="18"/>
  <c r="I56" i="13"/>
  <c r="B57" i="13"/>
  <c r="F57" i="13"/>
  <c r="F138" i="35"/>
  <c r="B138" i="35"/>
  <c r="H136" i="37"/>
  <c r="I136" i="37"/>
  <c r="I137" i="35"/>
  <c r="H137" i="35"/>
  <c r="B137" i="37"/>
  <c r="E137" i="37"/>
  <c r="F137" i="37" s="1"/>
  <c r="B145" i="4"/>
  <c r="E145" i="4"/>
  <c r="F145" i="4" s="1"/>
  <c r="H144" i="4"/>
  <c r="I144" i="4"/>
  <c r="B142" i="28"/>
  <c r="F138" i="31"/>
  <c r="B138" i="31"/>
  <c r="I137" i="31"/>
  <c r="H137" i="31"/>
  <c r="D141" i="25"/>
  <c r="G140" i="25"/>
  <c r="J140" i="21"/>
  <c r="D138" i="34"/>
  <c r="E138" i="34" s="1"/>
  <c r="G137" i="34"/>
  <c r="G141" i="24"/>
  <c r="D142" i="24"/>
  <c r="E142" i="24" s="1"/>
  <c r="H143" i="19"/>
  <c r="I143" i="19"/>
  <c r="B144" i="19"/>
  <c r="F144" i="19"/>
  <c r="D142" i="21"/>
  <c r="G141" i="21"/>
  <c r="D142" i="27"/>
  <c r="E142" i="27" s="1"/>
  <c r="G141" i="27"/>
  <c r="D138" i="38"/>
  <c r="E138" i="38" s="1"/>
  <c r="G137" i="38"/>
  <c r="J140" i="27"/>
  <c r="F143" i="29"/>
  <c r="J140" i="24"/>
  <c r="G138" i="13"/>
  <c r="D139" i="13"/>
  <c r="I142" i="29"/>
  <c r="H142" i="29"/>
  <c r="H144" i="3"/>
  <c r="I144" i="3"/>
  <c r="H145" i="23"/>
  <c r="I145" i="23"/>
  <c r="H137" i="20"/>
  <c r="I137" i="20"/>
  <c r="F138" i="20"/>
  <c r="B138" i="20"/>
  <c r="I140" i="22"/>
  <c r="H140" i="22"/>
  <c r="F146" i="23"/>
  <c r="B145" i="3"/>
  <c r="F145" i="3"/>
  <c r="B141" i="22"/>
  <c r="F141" i="22"/>
  <c r="D150" i="39" l="1"/>
  <c r="E150" i="39" s="1"/>
  <c r="G149" i="39"/>
  <c r="I149" i="39" s="1"/>
  <c r="B148" i="41"/>
  <c r="H148" i="41"/>
  <c r="D149" i="41"/>
  <c r="G148" i="41"/>
  <c r="I148" i="41" s="1"/>
  <c r="E149" i="41"/>
  <c r="G139" i="40"/>
  <c r="I139" i="40" s="1"/>
  <c r="D140" i="40"/>
  <c r="H149" i="39"/>
  <c r="J143" i="18"/>
  <c r="J140" i="26"/>
  <c r="J137" i="20"/>
  <c r="D142" i="26"/>
  <c r="G141" i="26"/>
  <c r="J143" i="19"/>
  <c r="G144" i="18"/>
  <c r="D145" i="18"/>
  <c r="J144" i="4"/>
  <c r="D58" i="13"/>
  <c r="E58" i="13" s="1"/>
  <c r="G57" i="13"/>
  <c r="H57" i="13"/>
  <c r="J144" i="3"/>
  <c r="G137" i="37"/>
  <c r="D138" i="37"/>
  <c r="B138" i="37" s="1"/>
  <c r="J145" i="23"/>
  <c r="J141" i="28"/>
  <c r="J137" i="31"/>
  <c r="D139" i="35"/>
  <c r="G138" i="35"/>
  <c r="G145" i="4"/>
  <c r="D146" i="4"/>
  <c r="G138" i="31"/>
  <c r="D139" i="31"/>
  <c r="I140" i="25"/>
  <c r="H140" i="25"/>
  <c r="E141" i="25"/>
  <c r="F141" i="25" s="1"/>
  <c r="B141" i="25"/>
  <c r="D144" i="29"/>
  <c r="E144" i="29" s="1"/>
  <c r="G143" i="29"/>
  <c r="F138" i="38"/>
  <c r="B138" i="38"/>
  <c r="H137" i="38"/>
  <c r="I137" i="38"/>
  <c r="D145" i="19"/>
  <c r="E145" i="19" s="1"/>
  <c r="G144" i="19"/>
  <c r="B142" i="24"/>
  <c r="F142" i="24"/>
  <c r="B142" i="21"/>
  <c r="B139" i="13"/>
  <c r="H141" i="24"/>
  <c r="I141" i="24"/>
  <c r="E139" i="13"/>
  <c r="F139" i="13" s="1"/>
  <c r="H141" i="27"/>
  <c r="I141" i="27"/>
  <c r="E142" i="21"/>
  <c r="F142" i="21" s="1"/>
  <c r="H137" i="34"/>
  <c r="I137" i="34"/>
  <c r="I138" i="13"/>
  <c r="H138" i="13"/>
  <c r="B142" i="27"/>
  <c r="F142" i="27"/>
  <c r="H141" i="21"/>
  <c r="I141" i="21"/>
  <c r="B138" i="34"/>
  <c r="F138" i="34"/>
  <c r="D142" i="22"/>
  <c r="G141" i="22"/>
  <c r="G145" i="3"/>
  <c r="D146" i="3"/>
  <c r="E146" i="3" s="1"/>
  <c r="D139" i="20"/>
  <c r="E139" i="20" s="1"/>
  <c r="G138" i="20"/>
  <c r="G146" i="23"/>
  <c r="D147" i="23"/>
  <c r="J140" i="22"/>
  <c r="E140" i="40" l="1"/>
  <c r="F140" i="40" s="1"/>
  <c r="B140" i="40"/>
  <c r="F149" i="41"/>
  <c r="B149" i="41"/>
  <c r="F150" i="39"/>
  <c r="B150" i="39"/>
  <c r="I141" i="26"/>
  <c r="H141" i="26"/>
  <c r="E142" i="26"/>
  <c r="F142" i="26" s="1"/>
  <c r="B142" i="26"/>
  <c r="J141" i="27"/>
  <c r="E145" i="18"/>
  <c r="F145" i="18" s="1"/>
  <c r="B145" i="18"/>
  <c r="I144" i="18"/>
  <c r="H144" i="18"/>
  <c r="J141" i="21"/>
  <c r="I57" i="13"/>
  <c r="B58" i="13"/>
  <c r="F58" i="13"/>
  <c r="H138" i="35"/>
  <c r="I138" i="35"/>
  <c r="E139" i="35"/>
  <c r="F139" i="35" s="1"/>
  <c r="B139" i="35"/>
  <c r="E138" i="37"/>
  <c r="F138" i="37" s="1"/>
  <c r="E146" i="4"/>
  <c r="F146" i="4" s="1"/>
  <c r="B146" i="4"/>
  <c r="I145" i="4"/>
  <c r="H145" i="4"/>
  <c r="I137" i="37"/>
  <c r="H137" i="37"/>
  <c r="G141" i="25"/>
  <c r="D142" i="25"/>
  <c r="B143" i="28"/>
  <c r="E139" i="31"/>
  <c r="F139" i="31" s="1"/>
  <c r="B139" i="31"/>
  <c r="H138" i="31"/>
  <c r="I138" i="31"/>
  <c r="D140" i="13"/>
  <c r="E140" i="13" s="1"/>
  <c r="G139" i="13"/>
  <c r="G142" i="21"/>
  <c r="D143" i="21"/>
  <c r="E143" i="21" s="1"/>
  <c r="B145" i="19"/>
  <c r="F145" i="19"/>
  <c r="G142" i="27"/>
  <c r="D143" i="27"/>
  <c r="E143" i="27" s="1"/>
  <c r="G142" i="24"/>
  <c r="D143" i="24"/>
  <c r="E143" i="24" s="1"/>
  <c r="G138" i="38"/>
  <c r="D139" i="38"/>
  <c r="E139" i="38" s="1"/>
  <c r="D139" i="34"/>
  <c r="E139" i="34" s="1"/>
  <c r="G138" i="34"/>
  <c r="J141" i="24"/>
  <c r="H143" i="29"/>
  <c r="I143" i="29"/>
  <c r="F144" i="29"/>
  <c r="H144" i="19"/>
  <c r="I144" i="19"/>
  <c r="I145" i="3"/>
  <c r="H145" i="3"/>
  <c r="B146" i="3"/>
  <c r="F146" i="3"/>
  <c r="E147" i="23"/>
  <c r="F147" i="23" s="1"/>
  <c r="H141" i="22"/>
  <c r="I141" i="22"/>
  <c r="H146" i="23"/>
  <c r="I146" i="23"/>
  <c r="B142" i="22"/>
  <c r="F139" i="20"/>
  <c r="B139" i="20"/>
  <c r="I138" i="20"/>
  <c r="H138" i="20"/>
  <c r="E142" i="22"/>
  <c r="F142" i="22" s="1"/>
  <c r="D150" i="41" l="1"/>
  <c r="E150" i="41" s="1"/>
  <c r="F150" i="41" s="1"/>
  <c r="G149" i="41"/>
  <c r="I149" i="41" s="1"/>
  <c r="H149" i="41"/>
  <c r="H140" i="40"/>
  <c r="G140" i="40"/>
  <c r="I140" i="40" s="1"/>
  <c r="D141" i="40"/>
  <c r="G150" i="39"/>
  <c r="I150" i="39" s="1"/>
  <c r="D151" i="39"/>
  <c r="E151" i="39" s="1"/>
  <c r="H150" i="39"/>
  <c r="D143" i="26"/>
  <c r="G142" i="26"/>
  <c r="J141" i="26"/>
  <c r="J144" i="18"/>
  <c r="D146" i="18"/>
  <c r="G145" i="18"/>
  <c r="D59" i="13"/>
  <c r="E59" i="13" s="1"/>
  <c r="G58" i="13"/>
  <c r="H58" i="13"/>
  <c r="D140" i="35"/>
  <c r="G139" i="35"/>
  <c r="J138" i="31"/>
  <c r="D147" i="4"/>
  <c r="G146" i="4"/>
  <c r="G138" i="37"/>
  <c r="D139" i="37"/>
  <c r="E139" i="37" s="1"/>
  <c r="J145" i="4"/>
  <c r="G139" i="31"/>
  <c r="D140" i="31"/>
  <c r="J142" i="28"/>
  <c r="E142" i="25"/>
  <c r="F142" i="25" s="1"/>
  <c r="B142" i="25"/>
  <c r="J141" i="22"/>
  <c r="H141" i="25"/>
  <c r="I141" i="25"/>
  <c r="J146" i="23"/>
  <c r="J138" i="20"/>
  <c r="B139" i="38"/>
  <c r="F139" i="38"/>
  <c r="G144" i="29"/>
  <c r="D145" i="29"/>
  <c r="E145" i="29" s="1"/>
  <c r="F143" i="21"/>
  <c r="B143" i="21"/>
  <c r="H138" i="38"/>
  <c r="I138" i="38"/>
  <c r="F143" i="27"/>
  <c r="B143" i="27"/>
  <c r="I142" i="21"/>
  <c r="H142" i="21"/>
  <c r="H142" i="27"/>
  <c r="I142" i="27"/>
  <c r="H139" i="13"/>
  <c r="I139" i="13"/>
  <c r="H138" i="34"/>
  <c r="I138" i="34"/>
  <c r="B143" i="24"/>
  <c r="F143" i="24"/>
  <c r="G145" i="19"/>
  <c r="D146" i="19"/>
  <c r="J144" i="19"/>
  <c r="F139" i="34"/>
  <c r="B139" i="34"/>
  <c r="I142" i="24"/>
  <c r="H142" i="24"/>
  <c r="F140" i="13"/>
  <c r="B140" i="13"/>
  <c r="D148" i="23"/>
  <c r="E148" i="23" s="1"/>
  <c r="G147" i="23"/>
  <c r="D143" i="22"/>
  <c r="E143" i="22" s="1"/>
  <c r="G142" i="22"/>
  <c r="G146" i="3"/>
  <c r="D147" i="3"/>
  <c r="D140" i="20"/>
  <c r="E140" i="20" s="1"/>
  <c r="G139" i="20"/>
  <c r="J145" i="3"/>
  <c r="E141" i="40" l="1"/>
  <c r="F141" i="40" s="1"/>
  <c r="H141" i="40" s="1"/>
  <c r="B141" i="40"/>
  <c r="G150" i="41"/>
  <c r="I150" i="41" s="1"/>
  <c r="D151" i="41"/>
  <c r="E151" i="41" s="1"/>
  <c r="F151" i="41" s="1"/>
  <c r="F151" i="39"/>
  <c r="B151" i="39"/>
  <c r="B150" i="41"/>
  <c r="H150" i="41"/>
  <c r="H142" i="26"/>
  <c r="I142" i="26"/>
  <c r="E143" i="26"/>
  <c r="F143" i="26" s="1"/>
  <c r="B143" i="26"/>
  <c r="J142" i="27"/>
  <c r="H145" i="18"/>
  <c r="I145" i="18"/>
  <c r="E146" i="18"/>
  <c r="F146" i="18" s="1"/>
  <c r="B146" i="18"/>
  <c r="B59" i="13"/>
  <c r="F59" i="13"/>
  <c r="H59" i="13" s="1"/>
  <c r="I58" i="13"/>
  <c r="B139" i="37"/>
  <c r="F139" i="37"/>
  <c r="I138" i="37"/>
  <c r="H138" i="37"/>
  <c r="I146" i="4"/>
  <c r="H146" i="4"/>
  <c r="B147" i="4"/>
  <c r="E147" i="4"/>
  <c r="F147" i="4" s="1"/>
  <c r="H139" i="35"/>
  <c r="I139" i="35"/>
  <c r="E140" i="35"/>
  <c r="F140" i="35" s="1"/>
  <c r="B140" i="35"/>
  <c r="G142" i="25"/>
  <c r="D143" i="25"/>
  <c r="B144" i="28"/>
  <c r="B140" i="31"/>
  <c r="I139" i="31"/>
  <c r="H139" i="31"/>
  <c r="E140" i="31"/>
  <c r="F140" i="31" s="1"/>
  <c r="B146" i="19"/>
  <c r="H145" i="19"/>
  <c r="I145" i="19"/>
  <c r="J142" i="21"/>
  <c r="D140" i="38"/>
  <c r="E140" i="38" s="1"/>
  <c r="G139" i="38"/>
  <c r="G143" i="24"/>
  <c r="D144" i="24"/>
  <c r="E144" i="24" s="1"/>
  <c r="F145" i="29"/>
  <c r="G143" i="27"/>
  <c r="D144" i="27"/>
  <c r="E144" i="27" s="1"/>
  <c r="I144" i="29"/>
  <c r="H144" i="29"/>
  <c r="J142" i="24"/>
  <c r="G143" i="21"/>
  <c r="D144" i="21"/>
  <c r="E144" i="21" s="1"/>
  <c r="D141" i="13"/>
  <c r="E141" i="13" s="1"/>
  <c r="G140" i="13"/>
  <c r="D140" i="34"/>
  <c r="G139" i="34"/>
  <c r="E146" i="19"/>
  <c r="F146" i="19" s="1"/>
  <c r="I142" i="22"/>
  <c r="H142" i="22"/>
  <c r="B147" i="3"/>
  <c r="H146" i="3"/>
  <c r="I146" i="3"/>
  <c r="H139" i="20"/>
  <c r="I139" i="20"/>
  <c r="B143" i="22"/>
  <c r="F143" i="22"/>
  <c r="I147" i="23"/>
  <c r="H147" i="23"/>
  <c r="E147" i="3"/>
  <c r="F147" i="3" s="1"/>
  <c r="B140" i="20"/>
  <c r="F140" i="20"/>
  <c r="F148" i="23"/>
  <c r="D152" i="39" l="1"/>
  <c r="E152" i="39" s="1"/>
  <c r="G151" i="39"/>
  <c r="I151" i="39" s="1"/>
  <c r="G141" i="40"/>
  <c r="I141" i="40" s="1"/>
  <c r="D142" i="40"/>
  <c r="H151" i="39"/>
  <c r="B151" i="41"/>
  <c r="H151" i="41"/>
  <c r="D152" i="41"/>
  <c r="E152" i="41" s="1"/>
  <c r="F152" i="41" s="1"/>
  <c r="G151" i="41"/>
  <c r="I151" i="41" s="1"/>
  <c r="J142" i="26"/>
  <c r="D144" i="26"/>
  <c r="G143" i="26"/>
  <c r="J145" i="18"/>
  <c r="D147" i="18"/>
  <c r="G146" i="18"/>
  <c r="J146" i="3"/>
  <c r="J139" i="31"/>
  <c r="D60" i="13"/>
  <c r="E60" i="13" s="1"/>
  <c r="G59" i="13"/>
  <c r="I59" i="13" s="1"/>
  <c r="D148" i="4"/>
  <c r="G147" i="4"/>
  <c r="J146" i="4"/>
  <c r="D141" i="35"/>
  <c r="G140" i="35"/>
  <c r="D140" i="37"/>
  <c r="E140" i="37" s="1"/>
  <c r="G139" i="37"/>
  <c r="J143" i="28"/>
  <c r="B145" i="28"/>
  <c r="D141" i="31"/>
  <c r="G140" i="31"/>
  <c r="E143" i="25"/>
  <c r="F143" i="25" s="1"/>
  <c r="B143" i="25"/>
  <c r="J139" i="20"/>
  <c r="J145" i="19"/>
  <c r="H142" i="25"/>
  <c r="I142" i="25"/>
  <c r="G146" i="19"/>
  <c r="D147" i="19"/>
  <c r="B140" i="34"/>
  <c r="G145" i="29"/>
  <c r="D146" i="29"/>
  <c r="E146" i="29" s="1"/>
  <c r="B144" i="21"/>
  <c r="F144" i="21"/>
  <c r="I143" i="21"/>
  <c r="H143" i="21"/>
  <c r="F144" i="24"/>
  <c r="B144" i="24"/>
  <c r="H139" i="34"/>
  <c r="I139" i="34"/>
  <c r="I143" i="24"/>
  <c r="H143" i="24"/>
  <c r="I140" i="13"/>
  <c r="H140" i="13"/>
  <c r="F144" i="27"/>
  <c r="B144" i="27"/>
  <c r="F140" i="38"/>
  <c r="B140" i="38"/>
  <c r="E140" i="34"/>
  <c r="F140" i="34" s="1"/>
  <c r="B141" i="13"/>
  <c r="F141" i="13"/>
  <c r="I143" i="27"/>
  <c r="H143" i="27"/>
  <c r="H139" i="38"/>
  <c r="I139" i="38"/>
  <c r="G148" i="23"/>
  <c r="D149" i="23"/>
  <c r="J147" i="23"/>
  <c r="D144" i="22"/>
  <c r="E144" i="22" s="1"/>
  <c r="G143" i="22"/>
  <c r="D148" i="3"/>
  <c r="E148" i="3" s="1"/>
  <c r="G147" i="3"/>
  <c r="G140" i="20"/>
  <c r="D141" i="20"/>
  <c r="E141" i="20" s="1"/>
  <c r="J142" i="22"/>
  <c r="D153" i="41" l="1"/>
  <c r="E153" i="41" s="1"/>
  <c r="G152" i="41"/>
  <c r="I152" i="41" s="1"/>
  <c r="B152" i="41"/>
  <c r="H152" i="41"/>
  <c r="E142" i="40"/>
  <c r="F142" i="40" s="1"/>
  <c r="B142" i="40"/>
  <c r="B152" i="39"/>
  <c r="F152" i="39"/>
  <c r="H152" i="39" s="1"/>
  <c r="I143" i="26"/>
  <c r="H143" i="26"/>
  <c r="E144" i="26"/>
  <c r="F144" i="26" s="1"/>
  <c r="B144" i="26"/>
  <c r="I146" i="18"/>
  <c r="H146" i="18"/>
  <c r="E147" i="18"/>
  <c r="F147" i="18" s="1"/>
  <c r="B147" i="18"/>
  <c r="F60" i="13"/>
  <c r="G60" i="13" s="1"/>
  <c r="B60" i="13"/>
  <c r="F140" i="37"/>
  <c r="B140" i="37"/>
  <c r="I140" i="35"/>
  <c r="H140" i="35"/>
  <c r="B141" i="35"/>
  <c r="E141" i="35"/>
  <c r="F141" i="35" s="1"/>
  <c r="I147" i="4"/>
  <c r="H147" i="4"/>
  <c r="I139" i="37"/>
  <c r="H139" i="37"/>
  <c r="E148" i="4"/>
  <c r="F148" i="4" s="1"/>
  <c r="B148" i="4"/>
  <c r="G143" i="25"/>
  <c r="D144" i="25"/>
  <c r="B144" i="25" s="1"/>
  <c r="H140" i="31"/>
  <c r="I140" i="31"/>
  <c r="E141" i="31"/>
  <c r="F141" i="31" s="1"/>
  <c r="B141" i="31"/>
  <c r="D145" i="21"/>
  <c r="E145" i="21" s="1"/>
  <c r="G144" i="21"/>
  <c r="J143" i="24"/>
  <c r="G140" i="34"/>
  <c r="D141" i="34"/>
  <c r="E141" i="34" s="1"/>
  <c r="G144" i="24"/>
  <c r="D145" i="24"/>
  <c r="J143" i="21"/>
  <c r="D141" i="38"/>
  <c r="E141" i="38" s="1"/>
  <c r="G140" i="38"/>
  <c r="D145" i="27"/>
  <c r="E145" i="27" s="1"/>
  <c r="G144" i="27"/>
  <c r="F146" i="29"/>
  <c r="B147" i="19"/>
  <c r="J143" i="27"/>
  <c r="I145" i="29"/>
  <c r="H145" i="29"/>
  <c r="E147" i="19"/>
  <c r="F147" i="19" s="1"/>
  <c r="D142" i="13"/>
  <c r="E142" i="13" s="1"/>
  <c r="G141" i="13"/>
  <c r="H146" i="19"/>
  <c r="I146" i="19"/>
  <c r="F144" i="22"/>
  <c r="B144" i="22"/>
  <c r="H143" i="22"/>
  <c r="I143" i="22"/>
  <c r="I140" i="20"/>
  <c r="H140" i="20"/>
  <c r="I147" i="3"/>
  <c r="H147" i="3"/>
  <c r="H148" i="23"/>
  <c r="I148" i="23"/>
  <c r="E149" i="23"/>
  <c r="F149" i="23" s="1"/>
  <c r="B141" i="20"/>
  <c r="F141" i="20"/>
  <c r="B148" i="3"/>
  <c r="F148" i="3"/>
  <c r="D143" i="40" l="1"/>
  <c r="G142" i="40"/>
  <c r="I142" i="40" s="1"/>
  <c r="G152" i="39"/>
  <c r="I152" i="39" s="1"/>
  <c r="D153" i="39"/>
  <c r="H142" i="40"/>
  <c r="F153" i="41"/>
  <c r="B153" i="41"/>
  <c r="B146" i="28"/>
  <c r="D145" i="26"/>
  <c r="G144" i="26"/>
  <c r="J143" i="26"/>
  <c r="E144" i="25"/>
  <c r="F144" i="25" s="1"/>
  <c r="D145" i="25" s="1"/>
  <c r="E145" i="25" s="1"/>
  <c r="G147" i="18"/>
  <c r="D148" i="18"/>
  <c r="J144" i="28"/>
  <c r="J146" i="18"/>
  <c r="J147" i="4"/>
  <c r="D61" i="13"/>
  <c r="E61" i="13" s="1"/>
  <c r="J140" i="31"/>
  <c r="H60" i="13"/>
  <c r="I60" i="13" s="1"/>
  <c r="G141" i="35"/>
  <c r="D142" i="35"/>
  <c r="B142" i="35" s="1"/>
  <c r="G148" i="4"/>
  <c r="D149" i="4"/>
  <c r="J146" i="19"/>
  <c r="D141" i="37"/>
  <c r="G140" i="37"/>
  <c r="D142" i="31"/>
  <c r="E142" i="31" s="1"/>
  <c r="G141" i="31"/>
  <c r="H143" i="25"/>
  <c r="I143" i="25"/>
  <c r="D148" i="19"/>
  <c r="G147" i="19"/>
  <c r="I144" i="24"/>
  <c r="H144" i="24"/>
  <c r="H141" i="13"/>
  <c r="I141" i="13"/>
  <c r="F142" i="13"/>
  <c r="B142" i="13"/>
  <c r="I144" i="27"/>
  <c r="H144" i="27"/>
  <c r="F141" i="34"/>
  <c r="B141" i="34"/>
  <c r="J140" i="20"/>
  <c r="B145" i="27"/>
  <c r="F145" i="27"/>
  <c r="H140" i="34"/>
  <c r="I140" i="34"/>
  <c r="H144" i="21"/>
  <c r="I144" i="21"/>
  <c r="B145" i="24"/>
  <c r="J143" i="22"/>
  <c r="H140" i="38"/>
  <c r="I140" i="38"/>
  <c r="B145" i="21"/>
  <c r="F145" i="21"/>
  <c r="J148" i="23"/>
  <c r="G146" i="29"/>
  <c r="D147" i="29"/>
  <c r="E147" i="29" s="1"/>
  <c r="F141" i="38"/>
  <c r="B141" i="38"/>
  <c r="E145" i="24"/>
  <c r="F145" i="24" s="1"/>
  <c r="G149" i="23"/>
  <c r="D150" i="23"/>
  <c r="G144" i="22"/>
  <c r="D145" i="22"/>
  <c r="E145" i="22" s="1"/>
  <c r="J147" i="3"/>
  <c r="G148" i="3"/>
  <c r="D149" i="3"/>
  <c r="E149" i="3" s="1"/>
  <c r="D142" i="20"/>
  <c r="E142" i="20" s="1"/>
  <c r="G141" i="20"/>
  <c r="B153" i="39" l="1"/>
  <c r="G153" i="41"/>
  <c r="I153" i="41" s="1"/>
  <c r="D154" i="41"/>
  <c r="H153" i="41"/>
  <c r="E153" i="39"/>
  <c r="F153" i="39" s="1"/>
  <c r="E143" i="40"/>
  <c r="F143" i="40" s="1"/>
  <c r="B143" i="40"/>
  <c r="J145" i="28"/>
  <c r="G144" i="25"/>
  <c r="I144" i="25" s="1"/>
  <c r="F145" i="25"/>
  <c r="D146" i="25" s="1"/>
  <c r="B145" i="25"/>
  <c r="I144" i="26"/>
  <c r="H144" i="26"/>
  <c r="E145" i="26"/>
  <c r="F145" i="26" s="1"/>
  <c r="B145" i="26"/>
  <c r="E148" i="18"/>
  <c r="F148" i="18" s="1"/>
  <c r="B148" i="18"/>
  <c r="I147" i="18"/>
  <c r="H147" i="18"/>
  <c r="E142" i="35"/>
  <c r="F142" i="35" s="1"/>
  <c r="F61" i="13"/>
  <c r="H61" i="13" s="1"/>
  <c r="B61" i="13"/>
  <c r="E141" i="37"/>
  <c r="F141" i="37" s="1"/>
  <c r="B141" i="37"/>
  <c r="H140" i="37"/>
  <c r="I140" i="37"/>
  <c r="E149" i="4"/>
  <c r="F149" i="4" s="1"/>
  <c r="B149" i="4"/>
  <c r="H148" i="4"/>
  <c r="I148" i="4"/>
  <c r="H141" i="35"/>
  <c r="I141" i="35"/>
  <c r="J144" i="21"/>
  <c r="H141" i="31"/>
  <c r="I141" i="31"/>
  <c r="B142" i="31"/>
  <c r="F142" i="31"/>
  <c r="G145" i="24"/>
  <c r="D146" i="24"/>
  <c r="E146" i="24" s="1"/>
  <c r="D143" i="13"/>
  <c r="E143" i="13" s="1"/>
  <c r="G142" i="13"/>
  <c r="J144" i="24"/>
  <c r="I147" i="19"/>
  <c r="H147" i="19"/>
  <c r="B148" i="19"/>
  <c r="B147" i="28"/>
  <c r="G141" i="34"/>
  <c r="D142" i="34"/>
  <c r="E142" i="34" s="1"/>
  <c r="E148" i="19"/>
  <c r="F148" i="19" s="1"/>
  <c r="H146" i="29"/>
  <c r="I146" i="29"/>
  <c r="G141" i="38"/>
  <c r="D142" i="38"/>
  <c r="E142" i="38" s="1"/>
  <c r="D146" i="27"/>
  <c r="E146" i="27" s="1"/>
  <c r="G145" i="27"/>
  <c r="J144" i="27"/>
  <c r="F147" i="29"/>
  <c r="G145" i="21"/>
  <c r="D146" i="21"/>
  <c r="E146" i="21" s="1"/>
  <c r="B149" i="3"/>
  <c r="F149" i="3"/>
  <c r="H148" i="3"/>
  <c r="I148" i="3"/>
  <c r="E150" i="23"/>
  <c r="F150" i="23" s="1"/>
  <c r="H144" i="22"/>
  <c r="I144" i="22"/>
  <c r="I141" i="20"/>
  <c r="H141" i="20"/>
  <c r="F142" i="20"/>
  <c r="B142" i="20"/>
  <c r="B145" i="22"/>
  <c r="F145" i="22"/>
  <c r="I149" i="23"/>
  <c r="H149" i="23"/>
  <c r="G143" i="40" l="1"/>
  <c r="I143" i="40" s="1"/>
  <c r="D144" i="40"/>
  <c r="E144" i="40" s="1"/>
  <c r="H143" i="40"/>
  <c r="G153" i="39"/>
  <c r="I153" i="39" s="1"/>
  <c r="D154" i="39"/>
  <c r="H153" i="39"/>
  <c r="B154" i="41"/>
  <c r="E154" i="41"/>
  <c r="F154" i="41" s="1"/>
  <c r="G145" i="25"/>
  <c r="H144" i="25"/>
  <c r="J147" i="18"/>
  <c r="G145" i="26"/>
  <c r="D146" i="26"/>
  <c r="J148" i="4"/>
  <c r="J144" i="26"/>
  <c r="J146" i="28"/>
  <c r="D149" i="18"/>
  <c r="G148" i="18"/>
  <c r="D62" i="13"/>
  <c r="E62" i="13" s="1"/>
  <c r="D143" i="35"/>
  <c r="G142" i="35"/>
  <c r="G61" i="13"/>
  <c r="I61" i="13" s="1"/>
  <c r="J141" i="31"/>
  <c r="D142" i="37"/>
  <c r="G141" i="37"/>
  <c r="G149" i="4"/>
  <c r="D150" i="4"/>
  <c r="D143" i="31"/>
  <c r="G142" i="31"/>
  <c r="J147" i="19"/>
  <c r="J148" i="3"/>
  <c r="D149" i="19"/>
  <c r="G148" i="19"/>
  <c r="B142" i="38"/>
  <c r="F142" i="38"/>
  <c r="B146" i="21"/>
  <c r="F146" i="21"/>
  <c r="H141" i="38"/>
  <c r="I141" i="38"/>
  <c r="H142" i="13"/>
  <c r="I142" i="13"/>
  <c r="I145" i="21"/>
  <c r="H145" i="21"/>
  <c r="G147" i="29"/>
  <c r="D148" i="29"/>
  <c r="E148" i="29" s="1"/>
  <c r="B143" i="13"/>
  <c r="F143" i="13"/>
  <c r="I141" i="34"/>
  <c r="H141" i="34"/>
  <c r="B146" i="25"/>
  <c r="I145" i="25"/>
  <c r="H145" i="25"/>
  <c r="H145" i="27"/>
  <c r="I145" i="27"/>
  <c r="B146" i="24"/>
  <c r="F146" i="24"/>
  <c r="J149" i="23"/>
  <c r="J144" i="22"/>
  <c r="E146" i="25"/>
  <c r="F146" i="25" s="1"/>
  <c r="F146" i="27"/>
  <c r="B146" i="27"/>
  <c r="B142" i="34"/>
  <c r="F142" i="34"/>
  <c r="H145" i="24"/>
  <c r="I145" i="24"/>
  <c r="G149" i="3"/>
  <c r="D150" i="3"/>
  <c r="E150" i="3" s="1"/>
  <c r="D151" i="23"/>
  <c r="E151" i="23" s="1"/>
  <c r="G150" i="23"/>
  <c r="J141" i="20"/>
  <c r="G145" i="22"/>
  <c r="D146" i="22"/>
  <c r="E146" i="22" s="1"/>
  <c r="D143" i="20"/>
  <c r="E143" i="20" s="1"/>
  <c r="G142" i="20"/>
  <c r="G154" i="41" l="1"/>
  <c r="I154" i="41" s="1"/>
  <c r="D155" i="41"/>
  <c r="E155" i="41" s="1"/>
  <c r="E154" i="39"/>
  <c r="F154" i="39" s="1"/>
  <c r="B154" i="39"/>
  <c r="B144" i="40"/>
  <c r="F144" i="40"/>
  <c r="H154" i="41"/>
  <c r="E146" i="26"/>
  <c r="F146" i="26" s="1"/>
  <c r="B146" i="26"/>
  <c r="H145" i="26"/>
  <c r="I145" i="26"/>
  <c r="I148" i="18"/>
  <c r="H148" i="18"/>
  <c r="B149" i="18"/>
  <c r="E149" i="18"/>
  <c r="F149" i="18" s="1"/>
  <c r="H142" i="35"/>
  <c r="I142" i="35"/>
  <c r="B62" i="13"/>
  <c r="F62" i="13"/>
  <c r="E143" i="35"/>
  <c r="F143" i="35" s="1"/>
  <c r="B143" i="35"/>
  <c r="E150" i="4"/>
  <c r="F150" i="4" s="1"/>
  <c r="B150" i="4"/>
  <c r="I149" i="4"/>
  <c r="H149" i="4"/>
  <c r="H141" i="37"/>
  <c r="I141" i="37"/>
  <c r="E142" i="37"/>
  <c r="F142" i="37" s="1"/>
  <c r="B142" i="37"/>
  <c r="H142" i="31"/>
  <c r="I142" i="31"/>
  <c r="E143" i="31"/>
  <c r="F143" i="31" s="1"/>
  <c r="B143" i="31"/>
  <c r="J145" i="24"/>
  <c r="G146" i="25"/>
  <c r="D147" i="25"/>
  <c r="D143" i="34"/>
  <c r="E143" i="34" s="1"/>
  <c r="G142" i="34"/>
  <c r="D144" i="13"/>
  <c r="G143" i="13"/>
  <c r="B149" i="19"/>
  <c r="D147" i="21"/>
  <c r="E147" i="21" s="1"/>
  <c r="G146" i="21"/>
  <c r="F148" i="29"/>
  <c r="D147" i="24"/>
  <c r="E147" i="24" s="1"/>
  <c r="G146" i="24"/>
  <c r="H147" i="29"/>
  <c r="I147" i="29"/>
  <c r="G146" i="27"/>
  <c r="D147" i="27"/>
  <c r="E147" i="27" s="1"/>
  <c r="E149" i="19"/>
  <c r="F149" i="19" s="1"/>
  <c r="B148" i="28"/>
  <c r="D143" i="38"/>
  <c r="G142" i="38"/>
  <c r="J145" i="27"/>
  <c r="J145" i="21"/>
  <c r="H148" i="19"/>
  <c r="I148" i="19"/>
  <c r="H142" i="20"/>
  <c r="I142" i="20"/>
  <c r="B143" i="20"/>
  <c r="F143" i="20"/>
  <c r="F146" i="22"/>
  <c r="B146" i="22"/>
  <c r="H149" i="3"/>
  <c r="I149" i="3"/>
  <c r="B150" i="3"/>
  <c r="F150" i="3"/>
  <c r="F151" i="23"/>
  <c r="H145" i="22"/>
  <c r="I145" i="22"/>
  <c r="I150" i="23"/>
  <c r="H150" i="23"/>
  <c r="D145" i="40" l="1"/>
  <c r="E145" i="40" s="1"/>
  <c r="G144" i="40"/>
  <c r="I144" i="40" s="1"/>
  <c r="F155" i="41"/>
  <c r="G155" i="41" s="1"/>
  <c r="I155" i="41" s="1"/>
  <c r="I156" i="41" s="1"/>
  <c r="E156" i="41"/>
  <c r="B155" i="41"/>
  <c r="D155" i="39"/>
  <c r="E155" i="39" s="1"/>
  <c r="E156" i="39" s="1"/>
  <c r="G154" i="39"/>
  <c r="I154" i="39" s="1"/>
  <c r="H144" i="40"/>
  <c r="H154" i="39"/>
  <c r="J145" i="26"/>
  <c r="D147" i="26"/>
  <c r="G146" i="26"/>
  <c r="G149" i="18"/>
  <c r="D150" i="18"/>
  <c r="J148" i="18"/>
  <c r="J142" i="31"/>
  <c r="G143" i="35"/>
  <c r="D144" i="35"/>
  <c r="D63" i="13"/>
  <c r="H62" i="13"/>
  <c r="G62" i="13"/>
  <c r="G142" i="37"/>
  <c r="D143" i="37"/>
  <c r="J149" i="4"/>
  <c r="G150" i="4"/>
  <c r="D151" i="4"/>
  <c r="J149" i="3"/>
  <c r="J148" i="19"/>
  <c r="G143" i="31"/>
  <c r="D144" i="31"/>
  <c r="J147" i="28"/>
  <c r="G149" i="19"/>
  <c r="D150" i="19"/>
  <c r="B143" i="38"/>
  <c r="H143" i="13"/>
  <c r="I143" i="13"/>
  <c r="E143" i="38"/>
  <c r="F143" i="38" s="1"/>
  <c r="H146" i="21"/>
  <c r="I146" i="21"/>
  <c r="B144" i="13"/>
  <c r="J142" i="20"/>
  <c r="I146" i="24"/>
  <c r="H146" i="24"/>
  <c r="I142" i="34"/>
  <c r="H142" i="34"/>
  <c r="F147" i="24"/>
  <c r="B147" i="24"/>
  <c r="B143" i="34"/>
  <c r="F143" i="34"/>
  <c r="G148" i="29"/>
  <c r="D149" i="29"/>
  <c r="E149" i="29" s="1"/>
  <c r="B147" i="25"/>
  <c r="F147" i="27"/>
  <c r="B147" i="27"/>
  <c r="E147" i="25"/>
  <c r="F147" i="25" s="1"/>
  <c r="B147" i="21"/>
  <c r="F147" i="21"/>
  <c r="H142" i="38"/>
  <c r="I142" i="38"/>
  <c r="H146" i="27"/>
  <c r="I146" i="27"/>
  <c r="E144" i="13"/>
  <c r="F144" i="13" s="1"/>
  <c r="H146" i="25"/>
  <c r="I146" i="25"/>
  <c r="G146" i="22"/>
  <c r="D147" i="22"/>
  <c r="J150" i="23"/>
  <c r="G143" i="20"/>
  <c r="D144" i="20"/>
  <c r="E144" i="20" s="1"/>
  <c r="G151" i="23"/>
  <c r="D152" i="23"/>
  <c r="E152" i="23" s="1"/>
  <c r="D151" i="3"/>
  <c r="E151" i="3" s="1"/>
  <c r="G150" i="3"/>
  <c r="J145" i="22"/>
  <c r="H155" i="41" l="1"/>
  <c r="H156" i="41" s="1"/>
  <c r="B155" i="39"/>
  <c r="F155" i="39"/>
  <c r="G155" i="39" s="1"/>
  <c r="I155" i="39" s="1"/>
  <c r="I156" i="39" s="1"/>
  <c r="B145" i="40"/>
  <c r="F145" i="40"/>
  <c r="H146" i="26"/>
  <c r="I146" i="26"/>
  <c r="E147" i="26"/>
  <c r="F147" i="26" s="1"/>
  <c r="B147" i="26"/>
  <c r="E150" i="18"/>
  <c r="F150" i="18" s="1"/>
  <c r="B150" i="18"/>
  <c r="H149" i="18"/>
  <c r="I149" i="18"/>
  <c r="I62" i="13"/>
  <c r="B63" i="13"/>
  <c r="E144" i="35"/>
  <c r="F144" i="35" s="1"/>
  <c r="B144" i="35"/>
  <c r="E63" i="13"/>
  <c r="F63" i="13" s="1"/>
  <c r="H143" i="35"/>
  <c r="I143" i="35"/>
  <c r="B151" i="4"/>
  <c r="E151" i="4"/>
  <c r="F151" i="4" s="1"/>
  <c r="I150" i="4"/>
  <c r="H150" i="4"/>
  <c r="B143" i="37"/>
  <c r="H142" i="37"/>
  <c r="I142" i="37"/>
  <c r="E143" i="37"/>
  <c r="F143" i="37" s="1"/>
  <c r="E144" i="31"/>
  <c r="F144" i="31" s="1"/>
  <c r="B144" i="31"/>
  <c r="I143" i="31"/>
  <c r="H143" i="31"/>
  <c r="J146" i="24"/>
  <c r="G147" i="25"/>
  <c r="D148" i="25"/>
  <c r="G143" i="38"/>
  <c r="D144" i="38"/>
  <c r="E144" i="38" s="1"/>
  <c r="D145" i="13"/>
  <c r="E145" i="13" s="1"/>
  <c r="G144" i="13"/>
  <c r="D148" i="21"/>
  <c r="E148" i="21" s="1"/>
  <c r="G147" i="21"/>
  <c r="G143" i="34"/>
  <c r="D144" i="34"/>
  <c r="F149" i="29"/>
  <c r="G147" i="24"/>
  <c r="D148" i="24"/>
  <c r="E148" i="24" s="1"/>
  <c r="D148" i="27"/>
  <c r="G147" i="27"/>
  <c r="H148" i="29"/>
  <c r="I148" i="29"/>
  <c r="B149" i="28"/>
  <c r="B150" i="19"/>
  <c r="J146" i="27"/>
  <c r="J146" i="21"/>
  <c r="E150" i="19"/>
  <c r="F150" i="19" s="1"/>
  <c r="I149" i="19"/>
  <c r="H149" i="19"/>
  <c r="H150" i="3"/>
  <c r="I150" i="3"/>
  <c r="B147" i="22"/>
  <c r="F152" i="23"/>
  <c r="H151" i="23"/>
  <c r="I151" i="23"/>
  <c r="F144" i="20"/>
  <c r="B144" i="20"/>
  <c r="I146" i="22"/>
  <c r="H146" i="22"/>
  <c r="F151" i="3"/>
  <c r="B151" i="3"/>
  <c r="I143" i="20"/>
  <c r="H143" i="20"/>
  <c r="E147" i="22"/>
  <c r="F147" i="22" s="1"/>
  <c r="H155" i="39" l="1"/>
  <c r="H156" i="39" s="1"/>
  <c r="H145" i="40"/>
  <c r="G145" i="40"/>
  <c r="I145" i="40" s="1"/>
  <c r="D146" i="40"/>
  <c r="J146" i="26"/>
  <c r="G147" i="26"/>
  <c r="D148" i="26"/>
  <c r="G150" i="18"/>
  <c r="D151" i="18"/>
  <c r="J149" i="18"/>
  <c r="D64" i="13"/>
  <c r="H63" i="13"/>
  <c r="G63" i="13"/>
  <c r="D145" i="35"/>
  <c r="G144" i="35"/>
  <c r="G143" i="37"/>
  <c r="D144" i="37"/>
  <c r="B144" i="37" s="1"/>
  <c r="J150" i="4"/>
  <c r="D152" i="4"/>
  <c r="G151" i="4"/>
  <c r="J151" i="23"/>
  <c r="J143" i="31"/>
  <c r="G144" i="31"/>
  <c r="D145" i="31"/>
  <c r="E145" i="31" s="1"/>
  <c r="J148" i="28"/>
  <c r="G150" i="19"/>
  <c r="D151" i="19"/>
  <c r="B148" i="27"/>
  <c r="B144" i="34"/>
  <c r="H143" i="34"/>
  <c r="I143" i="34"/>
  <c r="F145" i="13"/>
  <c r="B145" i="13"/>
  <c r="J150" i="3"/>
  <c r="I147" i="24"/>
  <c r="H147" i="24"/>
  <c r="B144" i="38"/>
  <c r="F144" i="38"/>
  <c r="B148" i="24"/>
  <c r="F148" i="24"/>
  <c r="J149" i="19"/>
  <c r="D150" i="29"/>
  <c r="E150" i="29" s="1"/>
  <c r="G149" i="29"/>
  <c r="H143" i="38"/>
  <c r="I143" i="38"/>
  <c r="H147" i="21"/>
  <c r="I147" i="21"/>
  <c r="B148" i="25"/>
  <c r="E148" i="27"/>
  <c r="F148" i="27" s="1"/>
  <c r="F148" i="21"/>
  <c r="B148" i="21"/>
  <c r="E148" i="25"/>
  <c r="F148" i="25" s="1"/>
  <c r="H147" i="27"/>
  <c r="I147" i="27"/>
  <c r="E144" i="34"/>
  <c r="F144" i="34" s="1"/>
  <c r="I144" i="13"/>
  <c r="H144" i="13"/>
  <c r="H147" i="25"/>
  <c r="I147" i="25"/>
  <c r="G151" i="3"/>
  <c r="D152" i="3"/>
  <c r="G152" i="23"/>
  <c r="D153" i="23"/>
  <c r="G144" i="20"/>
  <c r="D145" i="20"/>
  <c r="E145" i="20" s="1"/>
  <c r="J143" i="20"/>
  <c r="G147" i="22"/>
  <c r="D148" i="22"/>
  <c r="J146" i="22"/>
  <c r="B146" i="40" l="1"/>
  <c r="E146" i="40"/>
  <c r="F146" i="40" s="1"/>
  <c r="E148" i="26"/>
  <c r="F148" i="26" s="1"/>
  <c r="B148" i="26"/>
  <c r="H147" i="26"/>
  <c r="I147" i="26"/>
  <c r="E151" i="18"/>
  <c r="F151" i="18" s="1"/>
  <c r="B151" i="18"/>
  <c r="I150" i="18"/>
  <c r="H150" i="18"/>
  <c r="H144" i="35"/>
  <c r="I144" i="35"/>
  <c r="E145" i="35"/>
  <c r="F145" i="35" s="1"/>
  <c r="B145" i="35"/>
  <c r="I63" i="13"/>
  <c r="B64" i="13"/>
  <c r="E64" i="13"/>
  <c r="F64" i="13" s="1"/>
  <c r="B152" i="4"/>
  <c r="E152" i="4"/>
  <c r="F152" i="4" s="1"/>
  <c r="H151" i="4"/>
  <c r="I151" i="4"/>
  <c r="H143" i="37"/>
  <c r="I143" i="37"/>
  <c r="J147" i="21"/>
  <c r="E144" i="37"/>
  <c r="F144" i="37" s="1"/>
  <c r="B145" i="31"/>
  <c r="F145" i="31"/>
  <c r="H144" i="31"/>
  <c r="I144" i="31"/>
  <c r="G144" i="34"/>
  <c r="D145" i="34"/>
  <c r="E145" i="34" s="1"/>
  <c r="G148" i="27"/>
  <c r="D149" i="27"/>
  <c r="E149" i="27" s="1"/>
  <c r="H149" i="29"/>
  <c r="I149" i="29"/>
  <c r="D145" i="38"/>
  <c r="E145" i="38" s="1"/>
  <c r="G144" i="38"/>
  <c r="B151" i="19"/>
  <c r="D146" i="13"/>
  <c r="G145" i="13"/>
  <c r="F150" i="29"/>
  <c r="E151" i="19"/>
  <c r="F151" i="19" s="1"/>
  <c r="I150" i="19"/>
  <c r="H150" i="19"/>
  <c r="J147" i="24"/>
  <c r="B150" i="28"/>
  <c r="G148" i="24"/>
  <c r="D149" i="24"/>
  <c r="E149" i="24" s="1"/>
  <c r="G148" i="25"/>
  <c r="D149" i="25"/>
  <c r="E149" i="25" s="1"/>
  <c r="J147" i="27"/>
  <c r="D149" i="21"/>
  <c r="E149" i="21" s="1"/>
  <c r="G148" i="21"/>
  <c r="H152" i="23"/>
  <c r="I152" i="23"/>
  <c r="H147" i="22"/>
  <c r="I147" i="22"/>
  <c r="B152" i="3"/>
  <c r="B148" i="22"/>
  <c r="H151" i="3"/>
  <c r="I151" i="3"/>
  <c r="E148" i="22"/>
  <c r="F148" i="22" s="1"/>
  <c r="B145" i="20"/>
  <c r="F145" i="20"/>
  <c r="I144" i="20"/>
  <c r="H144" i="20"/>
  <c r="E153" i="23"/>
  <c r="F153" i="23" s="1"/>
  <c r="E152" i="3"/>
  <c r="F152" i="3" s="1"/>
  <c r="G146" i="40" l="1"/>
  <c r="I146" i="40" s="1"/>
  <c r="D147" i="40"/>
  <c r="H146" i="40"/>
  <c r="J147" i="26"/>
  <c r="G148" i="26"/>
  <c r="D149" i="26"/>
  <c r="J150" i="18"/>
  <c r="D152" i="18"/>
  <c r="G151" i="18"/>
  <c r="J147" i="22"/>
  <c r="J152" i="23"/>
  <c r="D65" i="13"/>
  <c r="G64" i="13"/>
  <c r="H64" i="13"/>
  <c r="G145" i="35"/>
  <c r="D146" i="35"/>
  <c r="J151" i="3"/>
  <c r="J144" i="31"/>
  <c r="J151" i="4"/>
  <c r="D145" i="37"/>
  <c r="G144" i="37"/>
  <c r="D153" i="4"/>
  <c r="G152" i="4"/>
  <c r="D146" i="31"/>
  <c r="G145" i="31"/>
  <c r="J150" i="19"/>
  <c r="D152" i="19"/>
  <c r="E152" i="19" s="1"/>
  <c r="G151" i="19"/>
  <c r="B149" i="24"/>
  <c r="F149" i="24"/>
  <c r="G150" i="29"/>
  <c r="D151" i="29"/>
  <c r="E151" i="29" s="1"/>
  <c r="B145" i="38"/>
  <c r="F145" i="38"/>
  <c r="I148" i="21"/>
  <c r="H148" i="21"/>
  <c r="H148" i="24"/>
  <c r="I148" i="24"/>
  <c r="H145" i="13"/>
  <c r="I145" i="13"/>
  <c r="B146" i="13"/>
  <c r="B149" i="27"/>
  <c r="F149" i="27"/>
  <c r="B149" i="21"/>
  <c r="F149" i="21"/>
  <c r="E146" i="13"/>
  <c r="F146" i="13" s="1"/>
  <c r="H148" i="27"/>
  <c r="I148" i="27"/>
  <c r="B149" i="25"/>
  <c r="F149" i="25"/>
  <c r="B145" i="34"/>
  <c r="F145" i="34"/>
  <c r="H148" i="25"/>
  <c r="I148" i="25"/>
  <c r="J149" i="28"/>
  <c r="H144" i="38"/>
  <c r="I144" i="38"/>
  <c r="I144" i="34"/>
  <c r="H144" i="34"/>
  <c r="D149" i="22"/>
  <c r="G148" i="22"/>
  <c r="D154" i="23"/>
  <c r="G153" i="23"/>
  <c r="J144" i="20"/>
  <c r="G152" i="3"/>
  <c r="D153" i="3"/>
  <c r="E153" i="3" s="1"/>
  <c r="D146" i="20"/>
  <c r="E146" i="20" s="1"/>
  <c r="G145" i="20"/>
  <c r="E147" i="40" l="1"/>
  <c r="F147" i="40" s="1"/>
  <c r="H147" i="40" s="1"/>
  <c r="B147" i="40"/>
  <c r="E149" i="26"/>
  <c r="F149" i="26" s="1"/>
  <c r="B149" i="26"/>
  <c r="H148" i="26"/>
  <c r="I148" i="26"/>
  <c r="I151" i="18"/>
  <c r="H151" i="18"/>
  <c r="E152" i="18"/>
  <c r="F152" i="18" s="1"/>
  <c r="B152" i="18"/>
  <c r="I64" i="13"/>
  <c r="E146" i="35"/>
  <c r="F146" i="35" s="1"/>
  <c r="B146" i="35"/>
  <c r="I145" i="35"/>
  <c r="H145" i="35"/>
  <c r="B65" i="13"/>
  <c r="E65" i="13"/>
  <c r="F65" i="13" s="1"/>
  <c r="H152" i="4"/>
  <c r="I152" i="4"/>
  <c r="B153" i="4"/>
  <c r="E153" i="4"/>
  <c r="F153" i="4" s="1"/>
  <c r="I144" i="37"/>
  <c r="H144" i="37"/>
  <c r="J148" i="24"/>
  <c r="E145" i="37"/>
  <c r="F145" i="37" s="1"/>
  <c r="B145" i="37"/>
  <c r="H145" i="31"/>
  <c r="I145" i="31"/>
  <c r="E146" i="31"/>
  <c r="F146" i="31" s="1"/>
  <c r="B146" i="31"/>
  <c r="G146" i="13"/>
  <c r="D147" i="13"/>
  <c r="E147" i="13" s="1"/>
  <c r="G149" i="25"/>
  <c r="D150" i="25"/>
  <c r="D150" i="21"/>
  <c r="G149" i="21"/>
  <c r="I151" i="19"/>
  <c r="H151" i="19"/>
  <c r="J148" i="27"/>
  <c r="D150" i="27"/>
  <c r="E150" i="27" s="1"/>
  <c r="G149" i="27"/>
  <c r="G145" i="38"/>
  <c r="D146" i="38"/>
  <c r="D150" i="24"/>
  <c r="E150" i="24" s="1"/>
  <c r="G149" i="24"/>
  <c r="G145" i="34"/>
  <c r="D146" i="34"/>
  <c r="E146" i="34" s="1"/>
  <c r="B152" i="19"/>
  <c r="F152" i="19"/>
  <c r="B151" i="28"/>
  <c r="F151" i="29"/>
  <c r="J148" i="21"/>
  <c r="I150" i="29"/>
  <c r="H150" i="29"/>
  <c r="H152" i="3"/>
  <c r="I152" i="3"/>
  <c r="I148" i="22"/>
  <c r="H148" i="22"/>
  <c r="F153" i="3"/>
  <c r="B153" i="3"/>
  <c r="E154" i="23"/>
  <c r="F154" i="23" s="1"/>
  <c r="B149" i="22"/>
  <c r="I153" i="23"/>
  <c r="H153" i="23"/>
  <c r="I145" i="20"/>
  <c r="H145" i="20"/>
  <c r="F146" i="20"/>
  <c r="B146" i="20"/>
  <c r="E149" i="22"/>
  <c r="F149" i="22" s="1"/>
  <c r="G147" i="40" l="1"/>
  <c r="I147" i="40" s="1"/>
  <c r="D148" i="40"/>
  <c r="E148" i="40" s="1"/>
  <c r="D150" i="26"/>
  <c r="G149" i="26"/>
  <c r="J148" i="26"/>
  <c r="J145" i="31"/>
  <c r="D153" i="18"/>
  <c r="G152" i="18"/>
  <c r="J151" i="18"/>
  <c r="D66" i="13"/>
  <c r="E66" i="13" s="1"/>
  <c r="H65" i="13"/>
  <c r="G65" i="13"/>
  <c r="D147" i="35"/>
  <c r="G146" i="35"/>
  <c r="J152" i="4"/>
  <c r="G145" i="37"/>
  <c r="D146" i="37"/>
  <c r="G153" i="4"/>
  <c r="D154" i="4"/>
  <c r="J152" i="3"/>
  <c r="D147" i="31"/>
  <c r="G146" i="31"/>
  <c r="J151" i="19"/>
  <c r="G151" i="29"/>
  <c r="D152" i="29"/>
  <c r="E152" i="29" s="1"/>
  <c r="B146" i="38"/>
  <c r="I149" i="21"/>
  <c r="H149" i="21"/>
  <c r="H145" i="38"/>
  <c r="I145" i="38"/>
  <c r="B150" i="21"/>
  <c r="B150" i="25"/>
  <c r="H145" i="34"/>
  <c r="I145" i="34"/>
  <c r="I149" i="25"/>
  <c r="H149" i="25"/>
  <c r="F146" i="34"/>
  <c r="B146" i="34"/>
  <c r="I149" i="27"/>
  <c r="H149" i="27"/>
  <c r="E150" i="25"/>
  <c r="F150" i="25" s="1"/>
  <c r="J150" i="28"/>
  <c r="H149" i="24"/>
  <c r="I149" i="24"/>
  <c r="B150" i="27"/>
  <c r="F150" i="27"/>
  <c r="F147" i="13"/>
  <c r="B147" i="13"/>
  <c r="F150" i="24"/>
  <c r="B150" i="24"/>
  <c r="G152" i="19"/>
  <c r="D153" i="19"/>
  <c r="E146" i="38"/>
  <c r="F146" i="38" s="1"/>
  <c r="E150" i="21"/>
  <c r="F150" i="21" s="1"/>
  <c r="H146" i="13"/>
  <c r="I146" i="13"/>
  <c r="D155" i="23"/>
  <c r="G154" i="23"/>
  <c r="D150" i="22"/>
  <c r="E150" i="22" s="1"/>
  <c r="G149" i="22"/>
  <c r="G146" i="20"/>
  <c r="D147" i="20"/>
  <c r="J145" i="20"/>
  <c r="G153" i="3"/>
  <c r="D154" i="3"/>
  <c r="J153" i="23"/>
  <c r="J148" i="22"/>
  <c r="F148" i="40" l="1"/>
  <c r="B148" i="40"/>
  <c r="H148" i="40"/>
  <c r="H149" i="26"/>
  <c r="I149" i="26"/>
  <c r="E150" i="26"/>
  <c r="F150" i="26" s="1"/>
  <c r="B150" i="26"/>
  <c r="I152" i="18"/>
  <c r="H152" i="18"/>
  <c r="E153" i="18"/>
  <c r="F153" i="18" s="1"/>
  <c r="B153" i="18"/>
  <c r="I146" i="35"/>
  <c r="H146" i="35"/>
  <c r="E147" i="35"/>
  <c r="F147" i="35" s="1"/>
  <c r="B147" i="35"/>
  <c r="I65" i="13"/>
  <c r="B66" i="13"/>
  <c r="F66" i="13"/>
  <c r="H66" i="13" s="1"/>
  <c r="H153" i="4"/>
  <c r="I153" i="4"/>
  <c r="E146" i="37"/>
  <c r="F146" i="37" s="1"/>
  <c r="B146" i="37"/>
  <c r="B154" i="4"/>
  <c r="E154" i="4"/>
  <c r="F154" i="4" s="1"/>
  <c r="I145" i="37"/>
  <c r="H145" i="37"/>
  <c r="H146" i="31"/>
  <c r="I146" i="31"/>
  <c r="B147" i="31"/>
  <c r="E147" i="31"/>
  <c r="F147" i="31" s="1"/>
  <c r="G150" i="25"/>
  <c r="D151" i="25"/>
  <c r="D151" i="21"/>
  <c r="E151" i="21" s="1"/>
  <c r="G150" i="21"/>
  <c r="D147" i="38"/>
  <c r="E147" i="38" s="1"/>
  <c r="G146" i="38"/>
  <c r="G150" i="24"/>
  <c r="D151" i="24"/>
  <c r="E151" i="24" s="1"/>
  <c r="D148" i="13"/>
  <c r="E148" i="13" s="1"/>
  <c r="G147" i="13"/>
  <c r="F152" i="29"/>
  <c r="B153" i="19"/>
  <c r="J149" i="27"/>
  <c r="B152" i="28"/>
  <c r="I151" i="29"/>
  <c r="H151" i="29"/>
  <c r="H152" i="19"/>
  <c r="I152" i="19"/>
  <c r="G150" i="27"/>
  <c r="D151" i="27"/>
  <c r="E151" i="27" s="1"/>
  <c r="E153" i="19"/>
  <c r="F153" i="19" s="1"/>
  <c r="G146" i="34"/>
  <c r="D147" i="34"/>
  <c r="E147" i="34" s="1"/>
  <c r="J149" i="24"/>
  <c r="J149" i="21"/>
  <c r="B154" i="3"/>
  <c r="I154" i="23"/>
  <c r="H154" i="23"/>
  <c r="E155" i="23"/>
  <c r="E156" i="23" s="1"/>
  <c r="B147" i="20"/>
  <c r="E147" i="20"/>
  <c r="F147" i="20" s="1"/>
  <c r="E154" i="3"/>
  <c r="F154" i="3" s="1"/>
  <c r="F150" i="22"/>
  <c r="B150" i="22"/>
  <c r="H153" i="3"/>
  <c r="I153" i="3"/>
  <c r="I146" i="20"/>
  <c r="H146" i="20"/>
  <c r="H149" i="22"/>
  <c r="I149" i="22"/>
  <c r="D149" i="40" l="1"/>
  <c r="G148" i="40"/>
  <c r="I148" i="40" s="1"/>
  <c r="E149" i="40"/>
  <c r="J149" i="26"/>
  <c r="G150" i="26"/>
  <c r="D151" i="26"/>
  <c r="B151" i="26" s="1"/>
  <c r="G153" i="18"/>
  <c r="D154" i="18"/>
  <c r="B154" i="18" s="1"/>
  <c r="J146" i="31"/>
  <c r="J152" i="18"/>
  <c r="J153" i="4"/>
  <c r="D67" i="13"/>
  <c r="E67" i="13" s="1"/>
  <c r="G147" i="35"/>
  <c r="D148" i="35"/>
  <c r="G66" i="13"/>
  <c r="I66" i="13" s="1"/>
  <c r="D155" i="4"/>
  <c r="G154" i="4"/>
  <c r="G146" i="37"/>
  <c r="D147" i="37"/>
  <c r="J152" i="19"/>
  <c r="G147" i="31"/>
  <c r="D148" i="31"/>
  <c r="J153" i="3"/>
  <c r="G153" i="19"/>
  <c r="D154" i="19"/>
  <c r="J151" i="28"/>
  <c r="F147" i="38"/>
  <c r="B147" i="38"/>
  <c r="H147" i="13"/>
  <c r="I147" i="13"/>
  <c r="G152" i="29"/>
  <c r="D153" i="29"/>
  <c r="B151" i="27"/>
  <c r="F151" i="27"/>
  <c r="B148" i="13"/>
  <c r="F148" i="13"/>
  <c r="H150" i="21"/>
  <c r="I150" i="21"/>
  <c r="H150" i="27"/>
  <c r="I150" i="27"/>
  <c r="B151" i="21"/>
  <c r="F151" i="21"/>
  <c r="F151" i="24"/>
  <c r="B151" i="24"/>
  <c r="B151" i="25"/>
  <c r="H146" i="34"/>
  <c r="I146" i="34"/>
  <c r="H150" i="24"/>
  <c r="I150" i="24"/>
  <c r="H150" i="25"/>
  <c r="I150" i="25"/>
  <c r="F147" i="34"/>
  <c r="B147" i="34"/>
  <c r="H146" i="38"/>
  <c r="I146" i="38"/>
  <c r="E151" i="25"/>
  <c r="F151" i="25" s="1"/>
  <c r="J154" i="23"/>
  <c r="D155" i="3"/>
  <c r="G154" i="3"/>
  <c r="G150" i="22"/>
  <c r="D151" i="22"/>
  <c r="G147" i="20"/>
  <c r="D148" i="20"/>
  <c r="J146" i="20"/>
  <c r="J149" i="22"/>
  <c r="F155" i="23"/>
  <c r="G155" i="23" s="1"/>
  <c r="B149" i="40" l="1"/>
  <c r="F149" i="40"/>
  <c r="H149" i="40"/>
  <c r="E154" i="18"/>
  <c r="F154" i="18" s="1"/>
  <c r="G154" i="18" s="1"/>
  <c r="H154" i="18" s="1"/>
  <c r="E151" i="26"/>
  <c r="F151" i="26" s="1"/>
  <c r="H150" i="26"/>
  <c r="I150" i="26"/>
  <c r="J150" i="27"/>
  <c r="H153" i="18"/>
  <c r="I153" i="18"/>
  <c r="B148" i="35"/>
  <c r="E148" i="35"/>
  <c r="F148" i="35" s="1"/>
  <c r="H147" i="35"/>
  <c r="I147" i="35"/>
  <c r="J150" i="21"/>
  <c r="B67" i="13"/>
  <c r="F67" i="13"/>
  <c r="G67" i="13" s="1"/>
  <c r="E147" i="37"/>
  <c r="F147" i="37" s="1"/>
  <c r="B147" i="37"/>
  <c r="H146" i="37"/>
  <c r="I146" i="37"/>
  <c r="I154" i="4"/>
  <c r="H154" i="4"/>
  <c r="E155" i="4"/>
  <c r="E156" i="4" s="1"/>
  <c r="B155" i="4"/>
  <c r="E148" i="31"/>
  <c r="F148" i="31" s="1"/>
  <c r="B148" i="31"/>
  <c r="J150" i="24"/>
  <c r="H147" i="31"/>
  <c r="I147" i="31"/>
  <c r="G151" i="25"/>
  <c r="D152" i="25"/>
  <c r="E152" i="25" s="1"/>
  <c r="B153" i="28"/>
  <c r="D152" i="24"/>
  <c r="E152" i="24" s="1"/>
  <c r="G151" i="24"/>
  <c r="G151" i="27"/>
  <c r="D152" i="27"/>
  <c r="E152" i="27" s="1"/>
  <c r="G147" i="38"/>
  <c r="D148" i="38"/>
  <c r="E148" i="38" s="1"/>
  <c r="B154" i="19"/>
  <c r="H152" i="29"/>
  <c r="I152" i="29"/>
  <c r="D152" i="21"/>
  <c r="G151" i="21"/>
  <c r="I153" i="19"/>
  <c r="H153" i="19"/>
  <c r="G148" i="13"/>
  <c r="D149" i="13"/>
  <c r="D148" i="34"/>
  <c r="G147" i="34"/>
  <c r="E153" i="29"/>
  <c r="F153" i="29" s="1"/>
  <c r="E154" i="19"/>
  <c r="F154" i="19" s="1"/>
  <c r="B155" i="3"/>
  <c r="E155" i="3"/>
  <c r="E156" i="3" s="1"/>
  <c r="B151" i="22"/>
  <c r="B148" i="20"/>
  <c r="H147" i="20"/>
  <c r="I147" i="20"/>
  <c r="H150" i="22"/>
  <c r="I150" i="22"/>
  <c r="I155" i="23"/>
  <c r="H155" i="23"/>
  <c r="H156" i="23" s="1"/>
  <c r="E148" i="20"/>
  <c r="F148" i="20" s="1"/>
  <c r="E151" i="22"/>
  <c r="F151" i="22" s="1"/>
  <c r="I154" i="3"/>
  <c r="H154" i="3"/>
  <c r="G149" i="40" l="1"/>
  <c r="I149" i="40" s="1"/>
  <c r="D150" i="40"/>
  <c r="E150" i="40"/>
  <c r="J153" i="18"/>
  <c r="J147" i="31"/>
  <c r="D155" i="18"/>
  <c r="B155" i="18" s="1"/>
  <c r="I154" i="18"/>
  <c r="J154" i="18" s="1"/>
  <c r="J150" i="26"/>
  <c r="D152" i="26"/>
  <c r="G151" i="26"/>
  <c r="J150" i="22"/>
  <c r="D68" i="13"/>
  <c r="E68" i="13" s="1"/>
  <c r="H67" i="13"/>
  <c r="I67" i="13" s="1"/>
  <c r="D149" i="35"/>
  <c r="G148" i="35"/>
  <c r="J154" i="4"/>
  <c r="F155" i="4"/>
  <c r="G155" i="4" s="1"/>
  <c r="D148" i="37"/>
  <c r="G147" i="37"/>
  <c r="G148" i="31"/>
  <c r="D149" i="31"/>
  <c r="J153" i="19"/>
  <c r="G154" i="19"/>
  <c r="D155" i="19"/>
  <c r="E155" i="19" s="1"/>
  <c r="E156" i="19" s="1"/>
  <c r="G153" i="29"/>
  <c r="D154" i="29"/>
  <c r="B152" i="21"/>
  <c r="B149" i="13"/>
  <c r="B152" i="24"/>
  <c r="F152" i="24"/>
  <c r="B148" i="34"/>
  <c r="H148" i="13"/>
  <c r="I148" i="13"/>
  <c r="J152" i="28"/>
  <c r="H147" i="34"/>
  <c r="I147" i="34"/>
  <c r="E149" i="13"/>
  <c r="F149" i="13" s="1"/>
  <c r="B152" i="27"/>
  <c r="F152" i="27"/>
  <c r="B148" i="38"/>
  <c r="F148" i="38"/>
  <c r="H147" i="38"/>
  <c r="I147" i="38"/>
  <c r="H151" i="27"/>
  <c r="I151" i="27"/>
  <c r="F152" i="25"/>
  <c r="B152" i="25"/>
  <c r="H151" i="21"/>
  <c r="I151" i="21"/>
  <c r="I151" i="24"/>
  <c r="H151" i="24"/>
  <c r="E148" i="34"/>
  <c r="F148" i="34" s="1"/>
  <c r="E152" i="21"/>
  <c r="F152" i="21" s="1"/>
  <c r="H151" i="25"/>
  <c r="I151" i="25"/>
  <c r="G151" i="22"/>
  <c r="D152" i="22"/>
  <c r="J155" i="23"/>
  <c r="J156" i="23" s="1"/>
  <c r="I156" i="23"/>
  <c r="J154" i="3"/>
  <c r="D149" i="20"/>
  <c r="G148" i="20"/>
  <c r="J147" i="20"/>
  <c r="F155" i="3"/>
  <c r="G155" i="3" s="1"/>
  <c r="B150" i="40" l="1"/>
  <c r="F150" i="40"/>
  <c r="H150" i="40" s="1"/>
  <c r="E155" i="18"/>
  <c r="E156" i="18" s="1"/>
  <c r="I151" i="26"/>
  <c r="H151" i="26"/>
  <c r="E152" i="26"/>
  <c r="F152" i="26" s="1"/>
  <c r="B152" i="26"/>
  <c r="I148" i="35"/>
  <c r="H148" i="35"/>
  <c r="E149" i="35"/>
  <c r="F149" i="35" s="1"/>
  <c r="B149" i="35"/>
  <c r="B68" i="13"/>
  <c r="F68" i="13"/>
  <c r="H68" i="13" s="1"/>
  <c r="H147" i="37"/>
  <c r="I147" i="37"/>
  <c r="E148" i="37"/>
  <c r="F148" i="37" s="1"/>
  <c r="B148" i="37"/>
  <c r="J151" i="24"/>
  <c r="H155" i="4"/>
  <c r="H156" i="4" s="1"/>
  <c r="I155" i="4"/>
  <c r="J151" i="21"/>
  <c r="E149" i="31"/>
  <c r="F149" i="31" s="1"/>
  <c r="B149" i="31"/>
  <c r="H148" i="31"/>
  <c r="I148" i="31"/>
  <c r="J151" i="27"/>
  <c r="G149" i="13"/>
  <c r="D150" i="13"/>
  <c r="D149" i="34"/>
  <c r="E149" i="34" s="1"/>
  <c r="G148" i="34"/>
  <c r="G152" i="25"/>
  <c r="D153" i="25"/>
  <c r="G152" i="24"/>
  <c r="D153" i="24"/>
  <c r="E153" i="24" s="1"/>
  <c r="I153" i="29"/>
  <c r="H153" i="29"/>
  <c r="F155" i="19"/>
  <c r="G155" i="19" s="1"/>
  <c r="B155" i="19"/>
  <c r="B154" i="28"/>
  <c r="D153" i="27"/>
  <c r="E153" i="27" s="1"/>
  <c r="G152" i="27"/>
  <c r="I154" i="19"/>
  <c r="H154" i="19"/>
  <c r="G152" i="21"/>
  <c r="D153" i="21"/>
  <c r="D149" i="38"/>
  <c r="G148" i="38"/>
  <c r="E154" i="29"/>
  <c r="F154" i="29" s="1"/>
  <c r="H148" i="20"/>
  <c r="I148" i="20"/>
  <c r="B152" i="22"/>
  <c r="I151" i="22"/>
  <c r="H151" i="22"/>
  <c r="B149" i="20"/>
  <c r="H155" i="3"/>
  <c r="H156" i="3" s="1"/>
  <c r="I155" i="3"/>
  <c r="E149" i="20"/>
  <c r="F149" i="20" s="1"/>
  <c r="E152" i="22"/>
  <c r="F152" i="22" s="1"/>
  <c r="D151" i="40" l="1"/>
  <c r="G150" i="40"/>
  <c r="I150" i="40" s="1"/>
  <c r="E151" i="40"/>
  <c r="F155" i="18"/>
  <c r="G155" i="18" s="1"/>
  <c r="H155" i="18" s="1"/>
  <c r="H156" i="18" s="1"/>
  <c r="G152" i="26"/>
  <c r="D153" i="26"/>
  <c r="J151" i="26"/>
  <c r="D150" i="35"/>
  <c r="G149" i="35"/>
  <c r="D69" i="13"/>
  <c r="E69" i="13" s="1"/>
  <c r="G68" i="13"/>
  <c r="I68" i="13" s="1"/>
  <c r="J148" i="31"/>
  <c r="G148" i="37"/>
  <c r="D149" i="37"/>
  <c r="J155" i="4"/>
  <c r="J156" i="4" s="1"/>
  <c r="I156" i="4"/>
  <c r="J154" i="19"/>
  <c r="J148" i="20"/>
  <c r="G149" i="31"/>
  <c r="D150" i="31"/>
  <c r="E150" i="31" s="1"/>
  <c r="J153" i="28"/>
  <c r="G154" i="29"/>
  <c r="D155" i="29"/>
  <c r="E155" i="29" s="1"/>
  <c r="E156" i="29" s="1"/>
  <c r="B153" i="21"/>
  <c r="H148" i="38"/>
  <c r="I148" i="38"/>
  <c r="I155" i="19"/>
  <c r="H155" i="19"/>
  <c r="H156" i="19" s="1"/>
  <c r="B153" i="24"/>
  <c r="F153" i="24"/>
  <c r="I152" i="25"/>
  <c r="H152" i="25"/>
  <c r="B149" i="38"/>
  <c r="I152" i="24"/>
  <c r="H152" i="24"/>
  <c r="H148" i="34"/>
  <c r="I148" i="34"/>
  <c r="E149" i="38"/>
  <c r="F149" i="38" s="1"/>
  <c r="B149" i="34"/>
  <c r="F149" i="34"/>
  <c r="I152" i="21"/>
  <c r="H152" i="21"/>
  <c r="H152" i="27"/>
  <c r="I152" i="27"/>
  <c r="B150" i="13"/>
  <c r="E156" i="28"/>
  <c r="F153" i="27"/>
  <c r="B153" i="27"/>
  <c r="B153" i="25"/>
  <c r="H149" i="13"/>
  <c r="I149" i="13"/>
  <c r="E153" i="21"/>
  <c r="F153" i="21" s="1"/>
  <c r="E153" i="25"/>
  <c r="F153" i="25" s="1"/>
  <c r="E150" i="13"/>
  <c r="F150" i="13" s="1"/>
  <c r="G152" i="22"/>
  <c r="D153" i="22"/>
  <c r="E153" i="22" s="1"/>
  <c r="G149" i="20"/>
  <c r="D150" i="20"/>
  <c r="J151" i="22"/>
  <c r="J155" i="3"/>
  <c r="J156" i="3" s="1"/>
  <c r="I156" i="3"/>
  <c r="B151" i="40" l="1"/>
  <c r="F151" i="40"/>
  <c r="H151" i="40" s="1"/>
  <c r="I155" i="18"/>
  <c r="E153" i="26"/>
  <c r="F153" i="26" s="1"/>
  <c r="B153" i="26"/>
  <c r="I152" i="26"/>
  <c r="H152" i="26"/>
  <c r="H149" i="35"/>
  <c r="I149" i="35"/>
  <c r="E150" i="35"/>
  <c r="F150" i="35" s="1"/>
  <c r="B150" i="35"/>
  <c r="B69" i="13"/>
  <c r="F69" i="13"/>
  <c r="H69" i="13" s="1"/>
  <c r="E149" i="37"/>
  <c r="F149" i="37" s="1"/>
  <c r="B149" i="37"/>
  <c r="H148" i="37"/>
  <c r="I148" i="37"/>
  <c r="J152" i="24"/>
  <c r="F150" i="31"/>
  <c r="B150" i="31"/>
  <c r="I149" i="31"/>
  <c r="H149" i="31"/>
  <c r="J152" i="27"/>
  <c r="D154" i="21"/>
  <c r="E154" i="21" s="1"/>
  <c r="G153" i="21"/>
  <c r="D154" i="25"/>
  <c r="E154" i="25" s="1"/>
  <c r="G153" i="25"/>
  <c r="G150" i="13"/>
  <c r="D151" i="13"/>
  <c r="E151" i="13" s="1"/>
  <c r="J152" i="21"/>
  <c r="G153" i="27"/>
  <c r="D154" i="27"/>
  <c r="E154" i="27" s="1"/>
  <c r="G149" i="34"/>
  <c r="D150" i="34"/>
  <c r="D150" i="38"/>
  <c r="E150" i="38" s="1"/>
  <c r="G149" i="38"/>
  <c r="B155" i="28"/>
  <c r="G153" i="24"/>
  <c r="D154" i="24"/>
  <c r="E154" i="24" s="1"/>
  <c r="F155" i="29"/>
  <c r="G155" i="29" s="1"/>
  <c r="J155" i="19"/>
  <c r="J156" i="19" s="1"/>
  <c r="I156" i="19"/>
  <c r="I154" i="29"/>
  <c r="H154" i="29"/>
  <c r="H149" i="20"/>
  <c r="I149" i="20"/>
  <c r="B150" i="20"/>
  <c r="E150" i="20"/>
  <c r="F150" i="20" s="1"/>
  <c r="B153" i="22"/>
  <c r="F153" i="22"/>
  <c r="H152" i="22"/>
  <c r="I152" i="22"/>
  <c r="G151" i="40" l="1"/>
  <c r="I151" i="40" s="1"/>
  <c r="D152" i="40"/>
  <c r="I156" i="18"/>
  <c r="J155" i="18"/>
  <c r="J156" i="18" s="1"/>
  <c r="J152" i="26"/>
  <c r="D154" i="26"/>
  <c r="G153" i="26"/>
  <c r="D70" i="13"/>
  <c r="E70" i="13" s="1"/>
  <c r="G69" i="13"/>
  <c r="I69" i="13" s="1"/>
  <c r="D151" i="35"/>
  <c r="G150" i="35"/>
  <c r="D150" i="37"/>
  <c r="G149" i="37"/>
  <c r="J149" i="31"/>
  <c r="G150" i="31"/>
  <c r="D151" i="31"/>
  <c r="J154" i="28"/>
  <c r="B150" i="34"/>
  <c r="H149" i="34"/>
  <c r="I149" i="34"/>
  <c r="I153" i="25"/>
  <c r="H153" i="25"/>
  <c r="E150" i="34"/>
  <c r="F150" i="34" s="1"/>
  <c r="H150" i="13"/>
  <c r="I150" i="13"/>
  <c r="H156" i="28"/>
  <c r="B154" i="27"/>
  <c r="F154" i="27"/>
  <c r="F154" i="25"/>
  <c r="B154" i="25"/>
  <c r="F154" i="24"/>
  <c r="B154" i="24"/>
  <c r="H149" i="38"/>
  <c r="I149" i="38"/>
  <c r="H153" i="27"/>
  <c r="I153" i="27"/>
  <c r="J149" i="20"/>
  <c r="H153" i="24"/>
  <c r="I153" i="24"/>
  <c r="I153" i="21"/>
  <c r="H153" i="21"/>
  <c r="I155" i="29"/>
  <c r="I156" i="29" s="1"/>
  <c r="H155" i="29"/>
  <c r="H156" i="29" s="1"/>
  <c r="B150" i="38"/>
  <c r="F150" i="38"/>
  <c r="B151" i="13"/>
  <c r="F151" i="13"/>
  <c r="B154" i="21"/>
  <c r="F154" i="21"/>
  <c r="G150" i="20"/>
  <c r="D151" i="20"/>
  <c r="D154" i="22"/>
  <c r="E154" i="22" s="1"/>
  <c r="G153" i="22"/>
  <c r="J152" i="22"/>
  <c r="E152" i="40" l="1"/>
  <c r="F152" i="40"/>
  <c r="B152" i="40"/>
  <c r="I153" i="26"/>
  <c r="H153" i="26"/>
  <c r="B154" i="26"/>
  <c r="E154" i="26"/>
  <c r="F154" i="26" s="1"/>
  <c r="H150" i="35"/>
  <c r="I150" i="35"/>
  <c r="E151" i="35"/>
  <c r="F151" i="35" s="1"/>
  <c r="B151" i="35"/>
  <c r="B70" i="13"/>
  <c r="F70" i="13"/>
  <c r="G70" i="13" s="1"/>
  <c r="I149" i="37"/>
  <c r="H149" i="37"/>
  <c r="E150" i="37"/>
  <c r="F150" i="37" s="1"/>
  <c r="B150" i="37"/>
  <c r="B151" i="31"/>
  <c r="H150" i="31"/>
  <c r="I150" i="31"/>
  <c r="E151" i="31"/>
  <c r="F151" i="31" s="1"/>
  <c r="J153" i="24"/>
  <c r="G150" i="34"/>
  <c r="D151" i="34"/>
  <c r="E151" i="34" s="1"/>
  <c r="D155" i="21"/>
  <c r="E155" i="21" s="1"/>
  <c r="E156" i="21" s="1"/>
  <c r="G154" i="21"/>
  <c r="J153" i="27"/>
  <c r="G154" i="25"/>
  <c r="D155" i="25"/>
  <c r="E155" i="25" s="1"/>
  <c r="E156" i="25" s="1"/>
  <c r="D155" i="27"/>
  <c r="E155" i="27" s="1"/>
  <c r="E156" i="27" s="1"/>
  <c r="G154" i="27"/>
  <c r="D151" i="38"/>
  <c r="E151" i="38" s="1"/>
  <c r="G150" i="38"/>
  <c r="J153" i="21"/>
  <c r="G154" i="24"/>
  <c r="D155" i="24"/>
  <c r="E155" i="24" s="1"/>
  <c r="E156" i="24" s="1"/>
  <c r="G151" i="13"/>
  <c r="D152" i="13"/>
  <c r="J155" i="28"/>
  <c r="J156" i="28" s="1"/>
  <c r="I156" i="28"/>
  <c r="B154" i="22"/>
  <c r="F154" i="22"/>
  <c r="I150" i="20"/>
  <c r="H150" i="20"/>
  <c r="I153" i="22"/>
  <c r="H153" i="22"/>
  <c r="B151" i="20"/>
  <c r="E151" i="20"/>
  <c r="F151" i="20" s="1"/>
  <c r="D153" i="40" l="1"/>
  <c r="G152" i="40"/>
  <c r="I152" i="40" s="1"/>
  <c r="H152" i="40"/>
  <c r="D155" i="26"/>
  <c r="G154" i="26"/>
  <c r="J153" i="26"/>
  <c r="J150" i="31"/>
  <c r="H70" i="13"/>
  <c r="I70" i="13" s="1"/>
  <c r="D152" i="35"/>
  <c r="G151" i="35"/>
  <c r="D71" i="13"/>
  <c r="E71" i="13" s="1"/>
  <c r="D151" i="37"/>
  <c r="G150" i="37"/>
  <c r="D152" i="31"/>
  <c r="E152" i="31" s="1"/>
  <c r="G151" i="31"/>
  <c r="H150" i="38"/>
  <c r="I150" i="38"/>
  <c r="I154" i="24"/>
  <c r="H154" i="24"/>
  <c r="I154" i="25"/>
  <c r="H154" i="25"/>
  <c r="H154" i="21"/>
  <c r="I154" i="21"/>
  <c r="F155" i="24"/>
  <c r="G155" i="24" s="1"/>
  <c r="B155" i="24"/>
  <c r="F155" i="21"/>
  <c r="G155" i="21" s="1"/>
  <c r="B155" i="21"/>
  <c r="F151" i="38"/>
  <c r="B151" i="38"/>
  <c r="H151" i="13"/>
  <c r="I151" i="13"/>
  <c r="H154" i="27"/>
  <c r="I154" i="27"/>
  <c r="F151" i="34"/>
  <c r="B151" i="34"/>
  <c r="B155" i="25"/>
  <c r="F155" i="25"/>
  <c r="G155" i="25" s="1"/>
  <c r="B152" i="13"/>
  <c r="E152" i="13"/>
  <c r="F152" i="13" s="1"/>
  <c r="F155" i="27"/>
  <c r="G155" i="27" s="1"/>
  <c r="B155" i="27"/>
  <c r="H150" i="34"/>
  <c r="I150" i="34"/>
  <c r="G151" i="20"/>
  <c r="D152" i="20"/>
  <c r="D155" i="22"/>
  <c r="E155" i="22" s="1"/>
  <c r="E156" i="22" s="1"/>
  <c r="G154" i="22"/>
  <c r="J153" i="22"/>
  <c r="J150" i="20"/>
  <c r="E153" i="40" l="1"/>
  <c r="B153" i="40"/>
  <c r="F153" i="40"/>
  <c r="I154" i="26"/>
  <c r="H154" i="26"/>
  <c r="E155" i="26"/>
  <c r="E156" i="26" s="1"/>
  <c r="B155" i="26"/>
  <c r="J154" i="21"/>
  <c r="H151" i="35"/>
  <c r="I151" i="35"/>
  <c r="F71" i="13"/>
  <c r="H71" i="13" s="1"/>
  <c r="B71" i="13"/>
  <c r="E152" i="35"/>
  <c r="F152" i="35" s="1"/>
  <c r="B152" i="35"/>
  <c r="I150" i="37"/>
  <c r="H150" i="37"/>
  <c r="E151" i="37"/>
  <c r="F151" i="37" s="1"/>
  <c r="B151" i="37"/>
  <c r="H151" i="31"/>
  <c r="I151" i="31"/>
  <c r="B152" i="31"/>
  <c r="F152" i="31"/>
  <c r="J154" i="24"/>
  <c r="J154" i="27"/>
  <c r="G152" i="13"/>
  <c r="D153" i="13"/>
  <c r="E153" i="13" s="1"/>
  <c r="G151" i="34"/>
  <c r="D152" i="34"/>
  <c r="H155" i="25"/>
  <c r="H156" i="25" s="1"/>
  <c r="I155" i="25"/>
  <c r="I156" i="25" s="1"/>
  <c r="H155" i="27"/>
  <c r="H156" i="27" s="1"/>
  <c r="I155" i="27"/>
  <c r="G151" i="38"/>
  <c r="D152" i="38"/>
  <c r="E152" i="38" s="1"/>
  <c r="H155" i="21"/>
  <c r="H156" i="21" s="1"/>
  <c r="I155" i="21"/>
  <c r="I155" i="24"/>
  <c r="H155" i="24"/>
  <c r="H156" i="24" s="1"/>
  <c r="H154" i="22"/>
  <c r="I154" i="22"/>
  <c r="B152" i="20"/>
  <c r="F155" i="22"/>
  <c r="G155" i="22" s="1"/>
  <c r="B155" i="22"/>
  <c r="E152" i="20"/>
  <c r="F152" i="20" s="1"/>
  <c r="H151" i="20"/>
  <c r="I151" i="20"/>
  <c r="J151" i="31" l="1"/>
  <c r="H153" i="40"/>
  <c r="G153" i="40"/>
  <c r="I153" i="40" s="1"/>
  <c r="D154" i="40"/>
  <c r="F155" i="26"/>
  <c r="G155" i="26" s="1"/>
  <c r="J154" i="26"/>
  <c r="J154" i="22"/>
  <c r="G71" i="13"/>
  <c r="I71" i="13" s="1"/>
  <c r="G152" i="35"/>
  <c r="D153" i="35"/>
  <c r="D72" i="13"/>
  <c r="G151" i="37"/>
  <c r="D152" i="37"/>
  <c r="D153" i="31"/>
  <c r="B153" i="31" s="1"/>
  <c r="G152" i="31"/>
  <c r="B152" i="34"/>
  <c r="J155" i="21"/>
  <c r="J156" i="21" s="1"/>
  <c r="I156" i="21"/>
  <c r="J155" i="27"/>
  <c r="J156" i="27" s="1"/>
  <c r="I156" i="27"/>
  <c r="I151" i="34"/>
  <c r="H151" i="34"/>
  <c r="J155" i="24"/>
  <c r="J156" i="24" s="1"/>
  <c r="I156" i="24"/>
  <c r="B152" i="38"/>
  <c r="F152" i="38"/>
  <c r="H151" i="38"/>
  <c r="I151" i="38"/>
  <c r="B153" i="13"/>
  <c r="F153" i="13"/>
  <c r="E152" i="34"/>
  <c r="F152" i="34" s="1"/>
  <c r="H152" i="13"/>
  <c r="I152" i="13"/>
  <c r="G152" i="20"/>
  <c r="D153" i="20"/>
  <c r="I155" i="22"/>
  <c r="H155" i="22"/>
  <c r="H156" i="22" s="1"/>
  <c r="J151" i="20"/>
  <c r="E154" i="40" l="1"/>
  <c r="F154" i="40"/>
  <c r="H154" i="40" s="1"/>
  <c r="B154" i="40"/>
  <c r="H155" i="26"/>
  <c r="H156" i="26" s="1"/>
  <c r="I155" i="26"/>
  <c r="E153" i="31"/>
  <c r="F153" i="31" s="1"/>
  <c r="G153" i="31" s="1"/>
  <c r="I153" i="31" s="1"/>
  <c r="E72" i="13"/>
  <c r="F72" i="13" s="1"/>
  <c r="I152" i="35"/>
  <c r="H152" i="35"/>
  <c r="E153" i="35"/>
  <c r="F153" i="35" s="1"/>
  <c r="B153" i="35"/>
  <c r="E152" i="37"/>
  <c r="F152" i="37" s="1"/>
  <c r="B152" i="37"/>
  <c r="H151" i="37"/>
  <c r="I151" i="37"/>
  <c r="I152" i="31"/>
  <c r="H152" i="31"/>
  <c r="G152" i="34"/>
  <c r="D153" i="34"/>
  <c r="E153" i="34" s="1"/>
  <c r="D154" i="13"/>
  <c r="E154" i="13" s="1"/>
  <c r="G153" i="13"/>
  <c r="G152" i="38"/>
  <c r="D153" i="38"/>
  <c r="E153" i="38" s="1"/>
  <c r="J155" i="22"/>
  <c r="J156" i="22" s="1"/>
  <c r="I156" i="22"/>
  <c r="H152" i="20"/>
  <c r="I152" i="20"/>
  <c r="B153" i="20"/>
  <c r="E153" i="20"/>
  <c r="F153" i="20" s="1"/>
  <c r="G154" i="40" l="1"/>
  <c r="I154" i="40" s="1"/>
  <c r="D155" i="40"/>
  <c r="H153" i="31"/>
  <c r="J153" i="31" s="1"/>
  <c r="D154" i="31"/>
  <c r="E154" i="31" s="1"/>
  <c r="I156" i="26"/>
  <c r="J155" i="26"/>
  <c r="J156" i="26" s="1"/>
  <c r="D73" i="13"/>
  <c r="G72" i="13"/>
  <c r="H72" i="13"/>
  <c r="D154" i="35"/>
  <c r="G153" i="35"/>
  <c r="G152" i="37"/>
  <c r="D153" i="37"/>
  <c r="J152" i="31"/>
  <c r="H152" i="38"/>
  <c r="I152" i="38"/>
  <c r="H153" i="13"/>
  <c r="I153" i="13"/>
  <c r="B154" i="13"/>
  <c r="F154" i="13"/>
  <c r="J152" i="20"/>
  <c r="F153" i="34"/>
  <c r="B153" i="34"/>
  <c r="F153" i="38"/>
  <c r="B153" i="38"/>
  <c r="H152" i="34"/>
  <c r="I152" i="34"/>
  <c r="D154" i="20"/>
  <c r="G153" i="20"/>
  <c r="E155" i="40" l="1"/>
  <c r="E156" i="40" s="1"/>
  <c r="B155" i="40"/>
  <c r="F155" i="40"/>
  <c r="G155" i="40" s="1"/>
  <c r="I155" i="40" s="1"/>
  <c r="I156" i="40" s="1"/>
  <c r="H155" i="40"/>
  <c r="H156" i="40" s="1"/>
  <c r="B154" i="31"/>
  <c r="F154" i="31"/>
  <c r="G154" i="31" s="1"/>
  <c r="H154" i="31" s="1"/>
  <c r="I72" i="13"/>
  <c r="I153" i="35"/>
  <c r="H153" i="35"/>
  <c r="B73" i="13"/>
  <c r="E154" i="35"/>
  <c r="F154" i="35" s="1"/>
  <c r="B154" i="35"/>
  <c r="E73" i="13"/>
  <c r="E74" i="13" s="1"/>
  <c r="E153" i="37"/>
  <c r="F153" i="37" s="1"/>
  <c r="B153" i="37"/>
  <c r="H152" i="37"/>
  <c r="I152" i="37"/>
  <c r="G153" i="38"/>
  <c r="D154" i="38"/>
  <c r="E154" i="38" s="1"/>
  <c r="D155" i="13"/>
  <c r="G154" i="13"/>
  <c r="D154" i="34"/>
  <c r="E154" i="34" s="1"/>
  <c r="G153" i="34"/>
  <c r="B154" i="20"/>
  <c r="H153" i="20"/>
  <c r="I153" i="20"/>
  <c r="E154" i="20"/>
  <c r="F154" i="20" s="1"/>
  <c r="I154" i="31" l="1"/>
  <c r="J154" i="31" s="1"/>
  <c r="D155" i="31"/>
  <c r="E155" i="31" s="1"/>
  <c r="E156" i="31" s="1"/>
  <c r="D155" i="35"/>
  <c r="G154" i="35"/>
  <c r="F73" i="13"/>
  <c r="G153" i="37"/>
  <c r="D154" i="37"/>
  <c r="B154" i="37" s="1"/>
  <c r="B155" i="13"/>
  <c r="H154" i="13"/>
  <c r="I154" i="13"/>
  <c r="H153" i="34"/>
  <c r="I153" i="34"/>
  <c r="F154" i="38"/>
  <c r="B154" i="38"/>
  <c r="B154" i="34"/>
  <c r="F154" i="34"/>
  <c r="H153" i="38"/>
  <c r="I153" i="38"/>
  <c r="J153" i="20"/>
  <c r="E155" i="13"/>
  <c r="E156" i="13" s="1"/>
  <c r="D155" i="20"/>
  <c r="E155" i="20" s="1"/>
  <c r="E156" i="20" s="1"/>
  <c r="G154" i="20"/>
  <c r="F155" i="31" l="1"/>
  <c r="G155" i="31" s="1"/>
  <c r="H155" i="31" s="1"/>
  <c r="H156" i="31" s="1"/>
  <c r="B155" i="31"/>
  <c r="E154" i="37"/>
  <c r="F154" i="37" s="1"/>
  <c r="H73" i="13"/>
  <c r="G73" i="13"/>
  <c r="G74" i="13" s="1"/>
  <c r="H154" i="35"/>
  <c r="I154" i="35"/>
  <c r="E155" i="35"/>
  <c r="E156" i="35" s="1"/>
  <c r="B155" i="35"/>
  <c r="I153" i="37"/>
  <c r="H153" i="37"/>
  <c r="D155" i="34"/>
  <c r="E155" i="34" s="1"/>
  <c r="E156" i="34" s="1"/>
  <c r="G154" i="34"/>
  <c r="G154" i="38"/>
  <c r="D155" i="38"/>
  <c r="E155" i="38" s="1"/>
  <c r="E156" i="38" s="1"/>
  <c r="F155" i="13"/>
  <c r="G155" i="13" s="1"/>
  <c r="I154" i="20"/>
  <c r="H154" i="20"/>
  <c r="B155" i="20"/>
  <c r="F155" i="20"/>
  <c r="G155" i="20" s="1"/>
  <c r="I155" i="31" l="1"/>
  <c r="F155" i="35"/>
  <c r="G155" i="35" s="1"/>
  <c r="H155" i="35" s="1"/>
  <c r="H156" i="35" s="1"/>
  <c r="D155" i="37"/>
  <c r="G154" i="37"/>
  <c r="I73" i="13"/>
  <c r="I74" i="13" s="1"/>
  <c r="H74" i="13"/>
  <c r="B155" i="38"/>
  <c r="F155" i="38"/>
  <c r="G155" i="38" s="1"/>
  <c r="H154" i="38"/>
  <c r="I154" i="38"/>
  <c r="J155" i="31"/>
  <c r="J156" i="31" s="1"/>
  <c r="I156" i="31"/>
  <c r="H154" i="34"/>
  <c r="I154" i="34"/>
  <c r="H155" i="13"/>
  <c r="H156" i="13" s="1"/>
  <c r="I155" i="13"/>
  <c r="I156" i="13" s="1"/>
  <c r="B155" i="34"/>
  <c r="F155" i="34"/>
  <c r="G155" i="34" s="1"/>
  <c r="H155" i="20"/>
  <c r="H156" i="20" s="1"/>
  <c r="I155" i="20"/>
  <c r="J154" i="20"/>
  <c r="I155" i="35" l="1"/>
  <c r="I156" i="35" s="1"/>
  <c r="H154" i="37"/>
  <c r="I154" i="37"/>
  <c r="E155" i="37"/>
  <c r="B155" i="37"/>
  <c r="I155" i="34"/>
  <c r="I156" i="34" s="1"/>
  <c r="H155" i="34"/>
  <c r="H156" i="34" s="1"/>
  <c r="H155" i="38"/>
  <c r="H156" i="38" s="1"/>
  <c r="I155" i="38"/>
  <c r="I156" i="38" s="1"/>
  <c r="J155" i="20"/>
  <c r="J156" i="20" s="1"/>
  <c r="I156" i="20"/>
  <c r="E156" i="37" l="1"/>
  <c r="F155" i="37"/>
  <c r="G155" i="37" s="1"/>
  <c r="H155" i="37" l="1"/>
  <c r="H156" i="37" s="1"/>
  <c r="I155" i="37"/>
  <c r="I156" i="37" s="1"/>
  <c r="J93" i="3" l="1"/>
  <c r="M89" i="3" s="1"/>
  <c r="L87" i="3" l="1"/>
  <c r="N89" i="3"/>
  <c r="J93" i="38"/>
  <c r="N88" i="38" s="1"/>
  <c r="J93" i="24"/>
  <c r="J93" i="13"/>
  <c r="M19" i="2"/>
  <c r="A4" i="2"/>
  <c r="J93" i="18"/>
  <c r="J93" i="19"/>
  <c r="J93" i="23"/>
  <c r="J93" i="25"/>
  <c r="J93" i="27"/>
  <c r="J93" i="26"/>
  <c r="J93" i="28"/>
  <c r="J93" i="35"/>
  <c r="J93" i="34"/>
  <c r="J93" i="37"/>
  <c r="J93" i="20"/>
  <c r="J93" i="31"/>
  <c r="J93" i="29"/>
  <c r="J93" i="22"/>
  <c r="J93" i="21"/>
  <c r="J93" i="4"/>
  <c r="L87" i="4" l="1"/>
  <c r="N89" i="4"/>
  <c r="M89" i="4"/>
  <c r="L87" i="31"/>
  <c r="N89" i="31"/>
  <c r="M89" i="31"/>
  <c r="M88" i="20"/>
  <c r="L87" i="20"/>
  <c r="N88" i="20"/>
  <c r="N89" i="20"/>
  <c r="M89" i="20"/>
  <c r="N89" i="23"/>
  <c r="L87" i="23"/>
  <c r="M89" i="23"/>
  <c r="N89" i="22"/>
  <c r="L87" i="22"/>
  <c r="M89" i="22"/>
  <c r="L87" i="26"/>
  <c r="N89" i="26"/>
  <c r="M89" i="26"/>
  <c r="L87" i="13"/>
  <c r="N88" i="13"/>
  <c r="M89" i="13"/>
  <c r="N89" i="13"/>
  <c r="M88" i="13"/>
  <c r="M88" i="35"/>
  <c r="L87" i="35"/>
  <c r="N88" i="35"/>
  <c r="N89" i="35"/>
  <c r="M89" i="35"/>
  <c r="N89" i="21"/>
  <c r="L87" i="21"/>
  <c r="M89" i="21"/>
  <c r="N89" i="28"/>
  <c r="L87" i="28"/>
  <c r="M89" i="28"/>
  <c r="M88" i="37"/>
  <c r="L87" i="37"/>
  <c r="N89" i="37"/>
  <c r="N88" i="37"/>
  <c r="M89" i="37"/>
  <c r="L87" i="19"/>
  <c r="N89" i="19"/>
  <c r="M89" i="19"/>
  <c r="L87" i="29"/>
  <c r="N89" i="29"/>
  <c r="M89" i="29"/>
  <c r="N88" i="34"/>
  <c r="N89" i="34"/>
  <c r="L87" i="34"/>
  <c r="M88" i="34"/>
  <c r="M89" i="34"/>
  <c r="L87" i="27"/>
  <c r="N89" i="27"/>
  <c r="M89" i="27"/>
  <c r="L87" i="18"/>
  <c r="N89" i="18"/>
  <c r="M89" i="18"/>
  <c r="N89" i="24"/>
  <c r="M89" i="24"/>
  <c r="L87" i="24"/>
  <c r="O89" i="3"/>
  <c r="N89" i="25"/>
  <c r="L87" i="25"/>
  <c r="M89" i="25"/>
  <c r="M88" i="38"/>
  <c r="O88" i="38" s="1"/>
  <c r="M89" i="38"/>
  <c r="L87" i="38"/>
  <c r="N89" i="38"/>
  <c r="M90" i="20" l="1"/>
  <c r="M90" i="35"/>
  <c r="O88" i="35"/>
  <c r="M90" i="38"/>
  <c r="M90" i="34"/>
  <c r="O88" i="34"/>
  <c r="M90" i="37"/>
  <c r="O88" i="37"/>
  <c r="M90" i="13"/>
  <c r="O88" i="20"/>
  <c r="O88" i="13"/>
  <c r="O89" i="25"/>
  <c r="O89" i="24"/>
  <c r="O89" i="28"/>
  <c r="O89" i="21"/>
  <c r="O89" i="23"/>
  <c r="N18" i="2"/>
  <c r="O89" i="18"/>
  <c r="O89" i="27"/>
  <c r="N90" i="37"/>
  <c r="O89" i="37"/>
  <c r="O89" i="31"/>
  <c r="O89" i="38"/>
  <c r="O90" i="38" s="1"/>
  <c r="N90" i="38"/>
  <c r="O89" i="29"/>
  <c r="O89" i="13"/>
  <c r="N90" i="13"/>
  <c r="O18" i="2"/>
  <c r="O89" i="34"/>
  <c r="N90" i="34"/>
  <c r="O89" i="19"/>
  <c r="N90" i="35"/>
  <c r="O89" i="35"/>
  <c r="O89" i="26"/>
  <c r="O89" i="22"/>
  <c r="O89" i="20"/>
  <c r="N90" i="20"/>
  <c r="O89" i="4"/>
  <c r="I36" i="17"/>
  <c r="I22" i="17"/>
  <c r="I33" i="17"/>
  <c r="I35" i="17"/>
  <c r="I34" i="17"/>
  <c r="O90" i="34" l="1"/>
  <c r="V22" i="17"/>
  <c r="O90" i="35"/>
  <c r="N28" i="2"/>
  <c r="N29" i="2" s="1"/>
  <c r="O90" i="37"/>
  <c r="O90" i="20"/>
  <c r="O90" i="13"/>
  <c r="P18" i="2"/>
  <c r="R135" i="2"/>
  <c r="R134" i="2"/>
  <c r="F14" i="2" l="1"/>
  <c r="E19" i="2" s="1"/>
  <c r="F19" i="2" s="1"/>
  <c r="F20" i="2" s="1"/>
  <c r="E25" i="2" l="1"/>
  <c r="E26" i="2" s="1"/>
  <c r="E32" i="2"/>
  <c r="F53" i="2" l="1"/>
  <c r="E30" i="2"/>
  <c r="E33" i="2" s="1"/>
  <c r="E37" i="2" l="1"/>
  <c r="F54" i="2" s="1"/>
  <c r="F55" i="2" s="1"/>
  <c r="F62" i="2" s="1"/>
  <c r="F65" i="2" s="1"/>
  <c r="F67" i="2" s="1"/>
  <c r="F69" i="2" s="1"/>
  <c r="F70" i="2" s="1"/>
  <c r="F71" i="2" s="1"/>
  <c r="F56" i="2" s="1"/>
  <c r="F57" i="2" s="1"/>
  <c r="F76" i="2" l="1"/>
  <c r="F77" i="2" s="1"/>
  <c r="F59" i="2"/>
  <c r="F79" i="2" s="1"/>
  <c r="F80" i="2" s="1"/>
  <c r="F82" i="2" s="1"/>
  <c r="L35" i="17" l="1"/>
  <c r="V35" i="17" s="1"/>
  <c r="L18" i="17"/>
  <c r="L21" i="17"/>
  <c r="L30" i="17" l="1"/>
  <c r="L36" i="17"/>
  <c r="V36" i="17" s="1"/>
  <c r="L31" i="17"/>
  <c r="L20" i="17"/>
  <c r="L26" i="17"/>
  <c r="L33" i="17"/>
  <c r="V33" i="17" s="1"/>
  <c r="L28" i="17"/>
  <c r="L19" i="17"/>
  <c r="L23" i="17"/>
  <c r="L24" i="17"/>
  <c r="L27" i="17"/>
  <c r="L29" i="17"/>
  <c r="L25" i="17"/>
  <c r="L32" i="17"/>
  <c r="L34" i="17"/>
  <c r="V34" i="17" s="1"/>
  <c r="L42" i="17" l="1"/>
  <c r="D23" i="17"/>
  <c r="D18" i="17"/>
  <c r="D21" i="17"/>
  <c r="D33" i="17"/>
  <c r="D28" i="17"/>
  <c r="D25" i="17"/>
  <c r="D22" i="17"/>
  <c r="D29" i="17"/>
  <c r="D20" i="17"/>
  <c r="D34" i="17"/>
  <c r="D32" i="17"/>
  <c r="D26" i="17"/>
  <c r="D24" i="17"/>
  <c r="D35" i="17"/>
  <c r="D30" i="17"/>
  <c r="D19" i="17"/>
  <c r="D27" i="17"/>
  <c r="D31" i="17"/>
  <c r="F83" i="1" l="1"/>
  <c r="F84" i="1"/>
  <c r="F85" i="1" l="1"/>
  <c r="F86" i="1" s="1"/>
  <c r="F88" i="1" s="1"/>
  <c r="F89" i="1" s="1"/>
  <c r="F90" i="1" s="1"/>
  <c r="D13" i="42" s="1"/>
  <c r="D13" i="38"/>
  <c r="D13" i="25"/>
  <c r="D13" i="26"/>
  <c r="D13" i="22"/>
  <c r="D13" i="4"/>
  <c r="D13" i="23"/>
  <c r="D13" i="28"/>
  <c r="D13" i="19"/>
  <c r="D13" i="29"/>
  <c r="D13" i="3"/>
  <c r="D13" i="34" l="1"/>
  <c r="D13" i="27"/>
  <c r="D13" i="40"/>
  <c r="D13" i="39"/>
  <c r="C73" i="39" s="1"/>
  <c r="D13" i="21"/>
  <c r="D13" i="41"/>
  <c r="D13" i="13"/>
  <c r="C73" i="13" s="1"/>
  <c r="D13" i="37"/>
  <c r="I14" i="37" s="1"/>
  <c r="D13" i="20"/>
  <c r="D13" i="24"/>
  <c r="D13" i="31"/>
  <c r="C33" i="31" s="1"/>
  <c r="C34" i="31" s="1"/>
  <c r="C35" i="31" s="1"/>
  <c r="C36" i="31" s="1"/>
  <c r="C37" i="31" s="1"/>
  <c r="C38" i="31" s="1"/>
  <c r="C39" i="31" s="1"/>
  <c r="C40" i="31" s="1"/>
  <c r="C41" i="31" s="1"/>
  <c r="C42" i="31" s="1"/>
  <c r="C43" i="31" s="1"/>
  <c r="C44" i="31" s="1"/>
  <c r="C45" i="31" s="1"/>
  <c r="D13" i="18"/>
  <c r="I14" i="18" s="1"/>
  <c r="D13" i="35"/>
  <c r="I14" i="22"/>
  <c r="C33" i="22"/>
  <c r="C34" i="22" s="1"/>
  <c r="C35" i="22" s="1"/>
  <c r="C36" i="22" s="1"/>
  <c r="C37" i="22" s="1"/>
  <c r="C38" i="22" s="1"/>
  <c r="C39" i="22" s="1"/>
  <c r="C40" i="22" s="1"/>
  <c r="C41" i="22" s="1"/>
  <c r="C42" i="22" s="1"/>
  <c r="C43" i="22" s="1"/>
  <c r="C44" i="22" s="1"/>
  <c r="C45" i="22" s="1"/>
  <c r="I14" i="24"/>
  <c r="C33" i="24"/>
  <c r="C34" i="24" s="1"/>
  <c r="C35" i="24" s="1"/>
  <c r="C36" i="24" s="1"/>
  <c r="C37" i="24" s="1"/>
  <c r="C38" i="24" s="1"/>
  <c r="C39" i="24" s="1"/>
  <c r="C40" i="24" s="1"/>
  <c r="C41" i="24" s="1"/>
  <c r="C42" i="24" s="1"/>
  <c r="C43" i="24" s="1"/>
  <c r="C44" i="24" s="1"/>
  <c r="C45" i="24" s="1"/>
  <c r="I14" i="41"/>
  <c r="C73" i="41"/>
  <c r="I14" i="23"/>
  <c r="C33" i="23"/>
  <c r="C34" i="23" s="1"/>
  <c r="C35" i="23" s="1"/>
  <c r="C36" i="23" s="1"/>
  <c r="C37" i="23" s="1"/>
  <c r="C38" i="23" s="1"/>
  <c r="C39" i="23" s="1"/>
  <c r="C40" i="23" s="1"/>
  <c r="C41" i="23" s="1"/>
  <c r="C42" i="23" s="1"/>
  <c r="C43" i="23" s="1"/>
  <c r="C44" i="23" s="1"/>
  <c r="C45" i="23" s="1"/>
  <c r="C33" i="18"/>
  <c r="C34" i="18" s="1"/>
  <c r="C35" i="18" s="1"/>
  <c r="C36" i="18" s="1"/>
  <c r="C37" i="18" s="1"/>
  <c r="C38" i="18" s="1"/>
  <c r="C39" i="18" s="1"/>
  <c r="C40" i="18" s="1"/>
  <c r="C41" i="18" s="1"/>
  <c r="C42" i="18" s="1"/>
  <c r="C43" i="18" s="1"/>
  <c r="C44" i="18" s="1"/>
  <c r="C45" i="18" s="1"/>
  <c r="C33" i="29"/>
  <c r="C34" i="29" s="1"/>
  <c r="C35" i="29" s="1"/>
  <c r="C36" i="29" s="1"/>
  <c r="C37" i="29" s="1"/>
  <c r="C38" i="29" s="1"/>
  <c r="C39" i="29" s="1"/>
  <c r="C40" i="29" s="1"/>
  <c r="C41" i="29" s="1"/>
  <c r="C42" i="29" s="1"/>
  <c r="C43" i="29" s="1"/>
  <c r="C44" i="29" s="1"/>
  <c r="C45" i="29" s="1"/>
  <c r="I14" i="29"/>
  <c r="I14" i="28"/>
  <c r="C33" i="28"/>
  <c r="C34" i="28" s="1"/>
  <c r="C35" i="28" s="1"/>
  <c r="C36" i="28" s="1"/>
  <c r="C37" i="28" s="1"/>
  <c r="C38" i="28" s="1"/>
  <c r="C39" i="28" s="1"/>
  <c r="C40" i="28" s="1"/>
  <c r="C41" i="28" s="1"/>
  <c r="C42" i="28" s="1"/>
  <c r="C43" i="28" s="1"/>
  <c r="C44" i="28" s="1"/>
  <c r="C45" i="28" s="1"/>
  <c r="I14" i="4"/>
  <c r="C33" i="4"/>
  <c r="C34" i="4" s="1"/>
  <c r="C35" i="4" s="1"/>
  <c r="C36" i="4" s="1"/>
  <c r="C37" i="4" s="1"/>
  <c r="C38" i="4" s="1"/>
  <c r="C39" i="4" s="1"/>
  <c r="C40" i="4" s="1"/>
  <c r="C41" i="4" s="1"/>
  <c r="C42" i="4" s="1"/>
  <c r="C43" i="4" s="1"/>
  <c r="C44" i="4" s="1"/>
  <c r="C45" i="4" s="1"/>
  <c r="I14" i="26"/>
  <c r="C33" i="26"/>
  <c r="C34" i="26" s="1"/>
  <c r="C35" i="26" s="1"/>
  <c r="C36" i="26" s="1"/>
  <c r="C37" i="26" s="1"/>
  <c r="C38" i="26" s="1"/>
  <c r="C39" i="26" s="1"/>
  <c r="C40" i="26" s="1"/>
  <c r="C41" i="26" s="1"/>
  <c r="C42" i="26" s="1"/>
  <c r="C43" i="26" s="1"/>
  <c r="C44" i="26" s="1"/>
  <c r="C45" i="26" s="1"/>
  <c r="I14" i="34"/>
  <c r="C73" i="34"/>
  <c r="C73" i="38"/>
  <c r="I14" i="38"/>
  <c r="I14" i="31"/>
  <c r="I14" i="3"/>
  <c r="C33" i="3"/>
  <c r="C34" i="3" s="1"/>
  <c r="C35" i="3" s="1"/>
  <c r="C36" i="3" s="1"/>
  <c r="C37" i="3" s="1"/>
  <c r="C38" i="3" s="1"/>
  <c r="C39" i="3" s="1"/>
  <c r="C40" i="3" s="1"/>
  <c r="C41" i="3" s="1"/>
  <c r="C42" i="3" s="1"/>
  <c r="C43" i="3" s="1"/>
  <c r="C44" i="3" s="1"/>
  <c r="C45" i="3" s="1"/>
  <c r="C33" i="19"/>
  <c r="C34" i="19" s="1"/>
  <c r="C35" i="19" s="1"/>
  <c r="C36" i="19" s="1"/>
  <c r="C37" i="19" s="1"/>
  <c r="C38" i="19" s="1"/>
  <c r="C39" i="19" s="1"/>
  <c r="C40" i="19" s="1"/>
  <c r="C41" i="19" s="1"/>
  <c r="C42" i="19" s="1"/>
  <c r="C43" i="19" s="1"/>
  <c r="C44" i="19" s="1"/>
  <c r="C45" i="19" s="1"/>
  <c r="I14" i="19"/>
  <c r="I14" i="25"/>
  <c r="C33" i="25"/>
  <c r="C34" i="25" s="1"/>
  <c r="C35" i="25" s="1"/>
  <c r="C36" i="25" s="1"/>
  <c r="C37" i="25" s="1"/>
  <c r="C38" i="25" s="1"/>
  <c r="C39" i="25" s="1"/>
  <c r="C40" i="25" s="1"/>
  <c r="C41" i="25" s="1"/>
  <c r="C42" i="25" s="1"/>
  <c r="C43" i="25" s="1"/>
  <c r="C44" i="25" s="1"/>
  <c r="C45" i="25" s="1"/>
  <c r="I14" i="27"/>
  <c r="C33" i="27"/>
  <c r="C34" i="27" s="1"/>
  <c r="C35" i="27" s="1"/>
  <c r="C36" i="27" s="1"/>
  <c r="C37" i="27" s="1"/>
  <c r="C38" i="27" s="1"/>
  <c r="C39" i="27" s="1"/>
  <c r="C40" i="27" s="1"/>
  <c r="C41" i="27" s="1"/>
  <c r="C42" i="27" s="1"/>
  <c r="C43" i="27" s="1"/>
  <c r="C44" i="27" s="1"/>
  <c r="C45" i="27" s="1"/>
  <c r="C73" i="40"/>
  <c r="I14" i="40"/>
  <c r="I14" i="21"/>
  <c r="C33" i="21"/>
  <c r="C34" i="21" s="1"/>
  <c r="C35" i="21" s="1"/>
  <c r="C36" i="21" s="1"/>
  <c r="C37" i="21" s="1"/>
  <c r="C38" i="21" s="1"/>
  <c r="C39" i="21" s="1"/>
  <c r="C40" i="21" s="1"/>
  <c r="C41" i="21" s="1"/>
  <c r="C42" i="21" s="1"/>
  <c r="C43" i="21" s="1"/>
  <c r="C44" i="21" s="1"/>
  <c r="C45" i="21" s="1"/>
  <c r="C73" i="35"/>
  <c r="I14" i="35"/>
  <c r="I14" i="42"/>
  <c r="C73" i="42"/>
  <c r="C73" i="37" l="1"/>
  <c r="I14" i="39"/>
  <c r="E20" i="39" s="1"/>
  <c r="E22" i="31"/>
  <c r="F22" i="31" s="1"/>
  <c r="E26" i="27"/>
  <c r="F26" i="27" s="1"/>
  <c r="E27" i="27" s="1"/>
  <c r="C46" i="21"/>
  <c r="C47" i="21" s="1"/>
  <c r="C48" i="21" s="1"/>
  <c r="C49" i="21" s="1"/>
  <c r="C50" i="21" s="1"/>
  <c r="C51" i="21" s="1"/>
  <c r="C52" i="21" s="1"/>
  <c r="C53" i="21" s="1"/>
  <c r="C54" i="21" s="1"/>
  <c r="C55" i="21" s="1"/>
  <c r="C56" i="21" s="1"/>
  <c r="C57" i="21" s="1"/>
  <c r="C58" i="21" s="1"/>
  <c r="C59" i="21" s="1"/>
  <c r="C60" i="21" s="1"/>
  <c r="C61" i="21" s="1"/>
  <c r="C62" i="21" s="1"/>
  <c r="C63" i="21" s="1"/>
  <c r="C64" i="21" s="1"/>
  <c r="C65" i="21" s="1"/>
  <c r="C66" i="21" s="1"/>
  <c r="C67" i="21" s="1"/>
  <c r="C68" i="21" s="1"/>
  <c r="C69" i="21" s="1"/>
  <c r="C70" i="21" s="1"/>
  <c r="C71" i="21" s="1"/>
  <c r="C72" i="21" s="1"/>
  <c r="C73" i="21" s="1"/>
  <c r="M88" i="21"/>
  <c r="M90" i="21" s="1"/>
  <c r="N88" i="21"/>
  <c r="E17" i="40"/>
  <c r="F17" i="40" s="1"/>
  <c r="E18" i="40" s="1"/>
  <c r="N88" i="25"/>
  <c r="C46" i="25"/>
  <c r="C47" i="25" s="1"/>
  <c r="C48" i="25" s="1"/>
  <c r="C49" i="25" s="1"/>
  <c r="C50" i="25" s="1"/>
  <c r="C51" i="25" s="1"/>
  <c r="C52" i="25" s="1"/>
  <c r="C53" i="25" s="1"/>
  <c r="C54" i="25" s="1"/>
  <c r="C55" i="25" s="1"/>
  <c r="C56" i="25" s="1"/>
  <c r="C57" i="25" s="1"/>
  <c r="C58" i="25" s="1"/>
  <c r="C59" i="25" s="1"/>
  <c r="C60" i="25" s="1"/>
  <c r="C61" i="25" s="1"/>
  <c r="C62" i="25" s="1"/>
  <c r="C63" i="25" s="1"/>
  <c r="C64" i="25" s="1"/>
  <c r="C65" i="25" s="1"/>
  <c r="C66" i="25" s="1"/>
  <c r="C67" i="25" s="1"/>
  <c r="C68" i="25" s="1"/>
  <c r="C69" i="25" s="1"/>
  <c r="C70" i="25" s="1"/>
  <c r="C71" i="25" s="1"/>
  <c r="C72" i="25" s="1"/>
  <c r="C73" i="25" s="1"/>
  <c r="M88" i="25"/>
  <c r="M90" i="25" s="1"/>
  <c r="N88" i="3"/>
  <c r="M88" i="3"/>
  <c r="C46" i="3"/>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E21" i="38"/>
  <c r="F21" i="38" s="1"/>
  <c r="C46" i="26"/>
  <c r="C47" i="26" s="1"/>
  <c r="C48" i="26" s="1"/>
  <c r="C49" i="26" s="1"/>
  <c r="C50" i="26" s="1"/>
  <c r="C51" i="26" s="1"/>
  <c r="C52" i="26" s="1"/>
  <c r="C53" i="26" s="1"/>
  <c r="C54" i="26" s="1"/>
  <c r="C55" i="26" s="1"/>
  <c r="C56" i="26" s="1"/>
  <c r="C57" i="26" s="1"/>
  <c r="C58" i="26" s="1"/>
  <c r="C59" i="26" s="1"/>
  <c r="C60" i="26" s="1"/>
  <c r="C61" i="26" s="1"/>
  <c r="C62" i="26" s="1"/>
  <c r="C63" i="26" s="1"/>
  <c r="C64" i="26" s="1"/>
  <c r="C65" i="26" s="1"/>
  <c r="C66" i="26" s="1"/>
  <c r="C67" i="26" s="1"/>
  <c r="C68" i="26" s="1"/>
  <c r="C69" i="26" s="1"/>
  <c r="C70" i="26" s="1"/>
  <c r="C71" i="26" s="1"/>
  <c r="C72" i="26" s="1"/>
  <c r="C73" i="26" s="1"/>
  <c r="N88" i="26"/>
  <c r="M88" i="26"/>
  <c r="M90" i="26" s="1"/>
  <c r="N88" i="28"/>
  <c r="M88" i="28"/>
  <c r="M90" i="28" s="1"/>
  <c r="C46" i="28"/>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E28" i="18"/>
  <c r="F28" i="18" s="1"/>
  <c r="C46" i="22"/>
  <c r="C47" i="22" s="1"/>
  <c r="C48" i="22" s="1"/>
  <c r="C49" i="22" s="1"/>
  <c r="C50" i="22" s="1"/>
  <c r="C51" i="22" s="1"/>
  <c r="C52" i="22" s="1"/>
  <c r="C53" i="22" s="1"/>
  <c r="C54" i="22" s="1"/>
  <c r="C55" i="22" s="1"/>
  <c r="C56" i="22" s="1"/>
  <c r="C57" i="22" s="1"/>
  <c r="C58" i="22" s="1"/>
  <c r="C59" i="22" s="1"/>
  <c r="C60" i="22" s="1"/>
  <c r="C61" i="22" s="1"/>
  <c r="C62" i="22" s="1"/>
  <c r="C63" i="22" s="1"/>
  <c r="C64" i="22" s="1"/>
  <c r="C65" i="22" s="1"/>
  <c r="C66" i="22" s="1"/>
  <c r="C67" i="22" s="1"/>
  <c r="C68" i="22" s="1"/>
  <c r="C69" i="22" s="1"/>
  <c r="C70" i="22" s="1"/>
  <c r="C71" i="22" s="1"/>
  <c r="C72" i="22" s="1"/>
  <c r="C73" i="22" s="1"/>
  <c r="M88" i="22"/>
  <c r="M90" i="22" s="1"/>
  <c r="N88" i="22"/>
  <c r="N5" i="27"/>
  <c r="M88" i="27"/>
  <c r="M90" i="27" s="1"/>
  <c r="C46" i="27"/>
  <c r="C47" i="27" s="1"/>
  <c r="C48" i="27" s="1"/>
  <c r="C49" i="27" s="1"/>
  <c r="C50" i="27" s="1"/>
  <c r="C51" i="27" s="1"/>
  <c r="C52" i="27" s="1"/>
  <c r="C53" i="27" s="1"/>
  <c r="C54" i="27" s="1"/>
  <c r="C55" i="27" s="1"/>
  <c r="C56" i="27" s="1"/>
  <c r="C57" i="27" s="1"/>
  <c r="C58" i="27" s="1"/>
  <c r="C59" i="27" s="1"/>
  <c r="C60" i="27" s="1"/>
  <c r="C61" i="27" s="1"/>
  <c r="C62" i="27" s="1"/>
  <c r="C63" i="27" s="1"/>
  <c r="C64" i="27" s="1"/>
  <c r="C65" i="27" s="1"/>
  <c r="C66" i="27" s="1"/>
  <c r="C67" i="27" s="1"/>
  <c r="C68" i="27" s="1"/>
  <c r="C69" i="27" s="1"/>
  <c r="C70" i="27" s="1"/>
  <c r="C71" i="27" s="1"/>
  <c r="C72" i="27" s="1"/>
  <c r="C73" i="27" s="1"/>
  <c r="N88" i="27"/>
  <c r="N6" i="27"/>
  <c r="N7" i="27" s="1"/>
  <c r="E19" i="39"/>
  <c r="F19" i="39" s="1"/>
  <c r="E17" i="42"/>
  <c r="F17" i="42" s="1"/>
  <c r="E18" i="42"/>
  <c r="E26" i="21"/>
  <c r="F26" i="21" s="1"/>
  <c r="E24" i="25"/>
  <c r="F24" i="25" s="1"/>
  <c r="E29" i="3"/>
  <c r="F29" i="3" s="1"/>
  <c r="E25" i="26"/>
  <c r="F25" i="26" s="1"/>
  <c r="E25" i="28"/>
  <c r="F25" i="28" s="1"/>
  <c r="E23" i="28"/>
  <c r="F23" i="28" s="1"/>
  <c r="M88" i="18"/>
  <c r="M90" i="18" s="1"/>
  <c r="C46" i="18"/>
  <c r="C47" i="18" s="1"/>
  <c r="C48" i="18" s="1"/>
  <c r="C49" i="18" s="1"/>
  <c r="C50" i="18" s="1"/>
  <c r="C51" i="18" s="1"/>
  <c r="C52" i="18" s="1"/>
  <c r="C53" i="18" s="1"/>
  <c r="C54" i="18" s="1"/>
  <c r="C55" i="18" s="1"/>
  <c r="C56" i="18" s="1"/>
  <c r="C57" i="18" s="1"/>
  <c r="C58" i="18" s="1"/>
  <c r="C59" i="18" s="1"/>
  <c r="C60" i="18" s="1"/>
  <c r="C61" i="18" s="1"/>
  <c r="C62" i="18" s="1"/>
  <c r="C63" i="18" s="1"/>
  <c r="C64" i="18" s="1"/>
  <c r="C65" i="18" s="1"/>
  <c r="C66" i="18" s="1"/>
  <c r="C67" i="18" s="1"/>
  <c r="C68" i="18" s="1"/>
  <c r="C69" i="18" s="1"/>
  <c r="C70" i="18" s="1"/>
  <c r="C71" i="18" s="1"/>
  <c r="C72" i="18" s="1"/>
  <c r="C73" i="18" s="1"/>
  <c r="N88" i="18"/>
  <c r="E17" i="41"/>
  <c r="F17" i="41" s="1"/>
  <c r="E25" i="22"/>
  <c r="F25" i="22" s="1"/>
  <c r="E26" i="22" s="1"/>
  <c r="E28" i="19"/>
  <c r="F28" i="19" s="1"/>
  <c r="N88" i="4"/>
  <c r="C46" i="4"/>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M88" i="4"/>
  <c r="M90" i="4" s="1"/>
  <c r="E23" i="29"/>
  <c r="F23" i="29" s="1"/>
  <c r="E24" i="29" s="1"/>
  <c r="N88" i="23"/>
  <c r="M88" i="23"/>
  <c r="M90" i="23" s="1"/>
  <c r="C46" i="23"/>
  <c r="C47" i="23" s="1"/>
  <c r="C48" i="23" s="1"/>
  <c r="C49" i="23" s="1"/>
  <c r="C50" i="23" s="1"/>
  <c r="C51" i="23" s="1"/>
  <c r="C52" i="23" s="1"/>
  <c r="C53" i="23" s="1"/>
  <c r="C54" i="23" s="1"/>
  <c r="C55" i="23" s="1"/>
  <c r="C56" i="23" s="1"/>
  <c r="C57" i="23" s="1"/>
  <c r="C58" i="23" s="1"/>
  <c r="C59" i="23" s="1"/>
  <c r="C60" i="23" s="1"/>
  <c r="C61" i="23" s="1"/>
  <c r="C62" i="23" s="1"/>
  <c r="C63" i="23" s="1"/>
  <c r="C64" i="23" s="1"/>
  <c r="C65" i="23" s="1"/>
  <c r="C66" i="23" s="1"/>
  <c r="C67" i="23" s="1"/>
  <c r="C68" i="23" s="1"/>
  <c r="C69" i="23" s="1"/>
  <c r="C70" i="23" s="1"/>
  <c r="C71" i="23" s="1"/>
  <c r="C72" i="23" s="1"/>
  <c r="C73" i="23" s="1"/>
  <c r="C46" i="24"/>
  <c r="C47" i="24" s="1"/>
  <c r="C48" i="24" s="1"/>
  <c r="C49" i="24" s="1"/>
  <c r="C50" i="24" s="1"/>
  <c r="C51" i="24" s="1"/>
  <c r="C52" i="24" s="1"/>
  <c r="C53" i="24" s="1"/>
  <c r="C54" i="24" s="1"/>
  <c r="C55" i="24" s="1"/>
  <c r="C56" i="24" s="1"/>
  <c r="C57" i="24" s="1"/>
  <c r="C58" i="24" s="1"/>
  <c r="C59" i="24" s="1"/>
  <c r="C60" i="24" s="1"/>
  <c r="C61" i="24" s="1"/>
  <c r="C62" i="24" s="1"/>
  <c r="C63" i="24" s="1"/>
  <c r="C64" i="24" s="1"/>
  <c r="C65" i="24" s="1"/>
  <c r="C66" i="24" s="1"/>
  <c r="C67" i="24" s="1"/>
  <c r="C68" i="24" s="1"/>
  <c r="C69" i="24" s="1"/>
  <c r="C70" i="24" s="1"/>
  <c r="C71" i="24" s="1"/>
  <c r="C72" i="24" s="1"/>
  <c r="C73" i="24" s="1"/>
  <c r="N88" i="24"/>
  <c r="M88" i="24"/>
  <c r="M90" i="24" s="1"/>
  <c r="E22" i="35"/>
  <c r="F22" i="35" s="1"/>
  <c r="C46" i="19"/>
  <c r="C47" i="19" s="1"/>
  <c r="C48" i="19" s="1"/>
  <c r="C49" i="19" s="1"/>
  <c r="C50" i="19" s="1"/>
  <c r="C51" i="19" s="1"/>
  <c r="C52" i="19" s="1"/>
  <c r="C53" i="19" s="1"/>
  <c r="C54" i="19" s="1"/>
  <c r="C55" i="19" s="1"/>
  <c r="C56" i="19" s="1"/>
  <c r="C57" i="19" s="1"/>
  <c r="C58" i="19" s="1"/>
  <c r="C59" i="19" s="1"/>
  <c r="C60" i="19" s="1"/>
  <c r="C61" i="19" s="1"/>
  <c r="C62" i="19" s="1"/>
  <c r="C63" i="19" s="1"/>
  <c r="C64" i="19" s="1"/>
  <c r="C65" i="19" s="1"/>
  <c r="C66" i="19" s="1"/>
  <c r="C67" i="19" s="1"/>
  <c r="C68" i="19" s="1"/>
  <c r="C69" i="19" s="1"/>
  <c r="C70" i="19" s="1"/>
  <c r="C71" i="19" s="1"/>
  <c r="C72" i="19" s="1"/>
  <c r="C73" i="19" s="1"/>
  <c r="M88" i="19"/>
  <c r="M90" i="19" s="1"/>
  <c r="N88" i="19"/>
  <c r="M88" i="31"/>
  <c r="M90" i="31" s="1"/>
  <c r="C46" i="31"/>
  <c r="C47" i="31" s="1"/>
  <c r="C48" i="31" s="1"/>
  <c r="C49" i="31" s="1"/>
  <c r="C50" i="31" s="1"/>
  <c r="C51" i="31" s="1"/>
  <c r="C52" i="31" s="1"/>
  <c r="C53" i="31" s="1"/>
  <c r="C54" i="31" s="1"/>
  <c r="C55" i="31" s="1"/>
  <c r="C56" i="31" s="1"/>
  <c r="C57" i="31" s="1"/>
  <c r="C58" i="31" s="1"/>
  <c r="C59" i="31" s="1"/>
  <c r="C60" i="31" s="1"/>
  <c r="C61" i="31" s="1"/>
  <c r="C62" i="31" s="1"/>
  <c r="C63" i="31" s="1"/>
  <c r="C64" i="31" s="1"/>
  <c r="C65" i="31" s="1"/>
  <c r="C66" i="31" s="1"/>
  <c r="C67" i="31" s="1"/>
  <c r="C68" i="31" s="1"/>
  <c r="C69" i="31" s="1"/>
  <c r="C70" i="31" s="1"/>
  <c r="C71" i="31" s="1"/>
  <c r="C72" i="31" s="1"/>
  <c r="C73" i="31" s="1"/>
  <c r="N88" i="31"/>
  <c r="E22" i="34"/>
  <c r="F22" i="34" s="1"/>
  <c r="E29" i="4"/>
  <c r="F29" i="4" s="1"/>
  <c r="E30" i="4" s="1"/>
  <c r="C46" i="29"/>
  <c r="C47" i="29" s="1"/>
  <c r="C48" i="29" s="1"/>
  <c r="C49" i="29" s="1"/>
  <c r="C50" i="29" s="1"/>
  <c r="C51" i="29" s="1"/>
  <c r="C52" i="29" s="1"/>
  <c r="C53" i="29" s="1"/>
  <c r="C54" i="29" s="1"/>
  <c r="C55" i="29" s="1"/>
  <c r="C56" i="29" s="1"/>
  <c r="C57" i="29" s="1"/>
  <c r="C58" i="29" s="1"/>
  <c r="C59" i="29" s="1"/>
  <c r="C60" i="29" s="1"/>
  <c r="C61" i="29" s="1"/>
  <c r="C62" i="29" s="1"/>
  <c r="C63" i="29" s="1"/>
  <c r="C64" i="29" s="1"/>
  <c r="C65" i="29" s="1"/>
  <c r="C66" i="29" s="1"/>
  <c r="C67" i="29" s="1"/>
  <c r="C68" i="29" s="1"/>
  <c r="C69" i="29" s="1"/>
  <c r="C70" i="29" s="1"/>
  <c r="C71" i="29" s="1"/>
  <c r="C72" i="29" s="1"/>
  <c r="C73" i="29" s="1"/>
  <c r="M88" i="29"/>
  <c r="M90" i="29" s="1"/>
  <c r="N88" i="29"/>
  <c r="E25" i="23"/>
  <c r="F25" i="23" s="1"/>
  <c r="E26" i="24"/>
  <c r="F26" i="24" s="1"/>
  <c r="E21" i="37"/>
  <c r="F21" i="37" s="1"/>
  <c r="E22" i="37" s="1"/>
  <c r="I32" i="17"/>
  <c r="I20" i="17"/>
  <c r="I29" i="17"/>
  <c r="I28" i="17"/>
  <c r="I27" i="17"/>
  <c r="I19" i="17"/>
  <c r="I26" i="17"/>
  <c r="E29" i="17"/>
  <c r="I24" i="17"/>
  <c r="I30" i="17"/>
  <c r="I23" i="17"/>
  <c r="F29" i="17"/>
  <c r="I31" i="17"/>
  <c r="I21" i="17"/>
  <c r="I25" i="17"/>
  <c r="V21" i="17" l="1"/>
  <c r="V27" i="17"/>
  <c r="V32" i="17"/>
  <c r="V31" i="17"/>
  <c r="V19" i="17"/>
  <c r="V20" i="17"/>
  <c r="V25" i="17"/>
  <c r="V29" i="17"/>
  <c r="V24" i="17"/>
  <c r="V30" i="17"/>
  <c r="V23" i="17"/>
  <c r="G29" i="17"/>
  <c r="V26" i="17"/>
  <c r="V28" i="17"/>
  <c r="E29" i="19"/>
  <c r="G28" i="19"/>
  <c r="N5" i="19" s="1"/>
  <c r="D29" i="19"/>
  <c r="H28" i="19"/>
  <c r="H22" i="35"/>
  <c r="D23" i="35"/>
  <c r="G22" i="35"/>
  <c r="N5" i="35" s="1"/>
  <c r="E23" i="35"/>
  <c r="H23" i="28"/>
  <c r="B24" i="28"/>
  <c r="G23" i="28"/>
  <c r="H26" i="24"/>
  <c r="G26" i="24"/>
  <c r="N5" i="24" s="1"/>
  <c r="D27" i="24"/>
  <c r="E26" i="23"/>
  <c r="H25" i="23"/>
  <c r="G25" i="23"/>
  <c r="N5" i="23" s="1"/>
  <c r="D26" i="23"/>
  <c r="N90" i="31"/>
  <c r="O88" i="31"/>
  <c r="O90" i="31" s="1"/>
  <c r="O88" i="19"/>
  <c r="O90" i="19" s="1"/>
  <c r="N90" i="19"/>
  <c r="O88" i="29"/>
  <c r="O90" i="29" s="1"/>
  <c r="N90" i="29"/>
  <c r="E23" i="34"/>
  <c r="G22" i="34"/>
  <c r="N5" i="34" s="1"/>
  <c r="H22" i="34"/>
  <c r="D23" i="34"/>
  <c r="G21" i="37"/>
  <c r="N5" i="37" s="1"/>
  <c r="H21" i="37"/>
  <c r="D22" i="37"/>
  <c r="E27" i="24"/>
  <c r="G29" i="4"/>
  <c r="N5" i="4" s="1"/>
  <c r="H29" i="4"/>
  <c r="D30" i="4"/>
  <c r="N90" i="23"/>
  <c r="O88" i="23"/>
  <c r="O90" i="23" s="1"/>
  <c r="B26" i="28"/>
  <c r="H25" i="28"/>
  <c r="G25" i="28"/>
  <c r="E26" i="28"/>
  <c r="F26" i="28" s="1"/>
  <c r="E26" i="26"/>
  <c r="G25" i="26"/>
  <c r="N5" i="26" s="1"/>
  <c r="H25" i="26"/>
  <c r="D26" i="26"/>
  <c r="G25" i="22"/>
  <c r="N5" i="22" s="1"/>
  <c r="H25" i="22"/>
  <c r="D26" i="22"/>
  <c r="E18" i="41"/>
  <c r="H17" i="41"/>
  <c r="G17" i="41"/>
  <c r="N5" i="41" s="1"/>
  <c r="D18" i="41"/>
  <c r="O88" i="24"/>
  <c r="O90" i="24" s="1"/>
  <c r="N90" i="24"/>
  <c r="D24" i="29"/>
  <c r="H23" i="29"/>
  <c r="G23" i="29"/>
  <c r="N5" i="29" s="1"/>
  <c r="N90" i="4"/>
  <c r="O88" i="4"/>
  <c r="O90" i="4" s="1"/>
  <c r="E27" i="21"/>
  <c r="H26" i="21"/>
  <c r="D27" i="21"/>
  <c r="G26" i="21"/>
  <c r="N5" i="21" s="1"/>
  <c r="O88" i="18"/>
  <c r="O90" i="18" s="1"/>
  <c r="N90" i="18"/>
  <c r="E30" i="3"/>
  <c r="D30" i="3"/>
  <c r="H29" i="3"/>
  <c r="G29" i="3"/>
  <c r="N5" i="3" s="1"/>
  <c r="E25" i="25"/>
  <c r="G24" i="25"/>
  <c r="N5" i="25" s="1"/>
  <c r="D25" i="25"/>
  <c r="H24" i="25"/>
  <c r="G19" i="39"/>
  <c r="N5" i="39" s="1"/>
  <c r="H19" i="39"/>
  <c r="D20" i="39"/>
  <c r="O88" i="26"/>
  <c r="O90" i="26" s="1"/>
  <c r="N90" i="26"/>
  <c r="E22" i="38"/>
  <c r="G21" i="38"/>
  <c r="N5" i="38" s="1"/>
  <c r="H21" i="38"/>
  <c r="D22" i="38"/>
  <c r="N90" i="3"/>
  <c r="O88" i="3"/>
  <c r="O90" i="3" s="1"/>
  <c r="O17" i="2"/>
  <c r="N90" i="25"/>
  <c r="O88" i="25"/>
  <c r="O90" i="25" s="1"/>
  <c r="E29" i="18"/>
  <c r="H28" i="18"/>
  <c r="D29" i="18"/>
  <c r="G28" i="18"/>
  <c r="N5" i="18" s="1"/>
  <c r="O88" i="28"/>
  <c r="O90" i="28" s="1"/>
  <c r="N90" i="28"/>
  <c r="G17" i="40"/>
  <c r="N5" i="40" s="1"/>
  <c r="H17" i="40"/>
  <c r="D18" i="40"/>
  <c r="G26" i="27"/>
  <c r="H26" i="27"/>
  <c r="D27" i="27"/>
  <c r="H17" i="42"/>
  <c r="G17" i="42"/>
  <c r="N5" i="42" s="1"/>
  <c r="D18" i="42"/>
  <c r="N90" i="27"/>
  <c r="O88" i="27"/>
  <c r="O90" i="27" s="1"/>
  <c r="O88" i="22"/>
  <c r="O90" i="22" s="1"/>
  <c r="N90" i="22"/>
  <c r="N17" i="2"/>
  <c r="M90" i="3"/>
  <c r="O88" i="21"/>
  <c r="O90" i="21" s="1"/>
  <c r="N90" i="21"/>
  <c r="E23" i="31"/>
  <c r="G22" i="31"/>
  <c r="N5" i="31" s="1"/>
  <c r="H22" i="31"/>
  <c r="D23" i="31"/>
  <c r="E34" i="17"/>
  <c r="E33" i="17"/>
  <c r="E39" i="17"/>
  <c r="E28" i="17"/>
  <c r="E31" i="17"/>
  <c r="E20" i="17"/>
  <c r="E25" i="17"/>
  <c r="E35" i="17"/>
  <c r="E23" i="17"/>
  <c r="E32" i="17"/>
  <c r="E27" i="17"/>
  <c r="E18" i="17"/>
  <c r="E38" i="17"/>
  <c r="E40" i="17"/>
  <c r="E19" i="17"/>
  <c r="E26" i="17"/>
  <c r="E37" i="17"/>
  <c r="E21" i="17"/>
  <c r="E36" i="17"/>
  <c r="I18" i="17"/>
  <c r="E24" i="17"/>
  <c r="I25" i="28" l="1"/>
  <c r="I42" i="17"/>
  <c r="V18" i="17"/>
  <c r="V42" i="17" s="1"/>
  <c r="Q20" i="17" s="1"/>
  <c r="R20" i="17" s="1"/>
  <c r="F22" i="38"/>
  <c r="B22" i="38"/>
  <c r="I29" i="4"/>
  <c r="N6" i="4"/>
  <c r="N7" i="4" s="1"/>
  <c r="F26" i="23"/>
  <c r="G26" i="23" s="1"/>
  <c r="B26" i="23"/>
  <c r="F27" i="24"/>
  <c r="B27" i="24"/>
  <c r="R133" i="2"/>
  <c r="O19" i="2"/>
  <c r="O20" i="2" s="1"/>
  <c r="P17" i="2"/>
  <c r="P19" i="2" s="1"/>
  <c r="P20" i="2" s="1"/>
  <c r="I21" i="38"/>
  <c r="N6" i="38"/>
  <c r="N7" i="38" s="1"/>
  <c r="I24" i="25"/>
  <c r="N6" i="25"/>
  <c r="N7" i="25" s="1"/>
  <c r="I26" i="21"/>
  <c r="N6" i="21"/>
  <c r="N7" i="21" s="1"/>
  <c r="F26" i="26"/>
  <c r="G26" i="26" s="1"/>
  <c r="B26" i="26"/>
  <c r="H26" i="28"/>
  <c r="B27" i="28"/>
  <c r="G26" i="28"/>
  <c r="N5" i="28" s="1"/>
  <c r="M19" i="1" s="1"/>
  <c r="E27" i="28"/>
  <c r="F27" i="28" s="1"/>
  <c r="I23" i="28"/>
  <c r="I22" i="35"/>
  <c r="N6" i="35"/>
  <c r="N7" i="35" s="1"/>
  <c r="F23" i="31"/>
  <c r="B23" i="31"/>
  <c r="I26" i="27"/>
  <c r="N6" i="37"/>
  <c r="N7" i="37" s="1"/>
  <c r="I21" i="37"/>
  <c r="F23" i="35"/>
  <c r="G23" i="35" s="1"/>
  <c r="B23" i="35"/>
  <c r="I22" i="31"/>
  <c r="N6" i="31"/>
  <c r="N7" i="31" s="1"/>
  <c r="I28" i="18"/>
  <c r="N6" i="18"/>
  <c r="N7" i="18" s="1"/>
  <c r="I17" i="42"/>
  <c r="N6" i="42"/>
  <c r="N7" i="42" s="1"/>
  <c r="B18" i="40"/>
  <c r="F18" i="40"/>
  <c r="G18" i="40" s="1"/>
  <c r="B20" i="39"/>
  <c r="F20" i="39"/>
  <c r="G20" i="39" s="1"/>
  <c r="B25" i="25"/>
  <c r="F25" i="25"/>
  <c r="G25" i="25" s="1"/>
  <c r="I29" i="3"/>
  <c r="N6" i="3"/>
  <c r="I23" i="29"/>
  <c r="N6" i="29"/>
  <c r="N7" i="29" s="1"/>
  <c r="B18" i="41"/>
  <c r="F18" i="41"/>
  <c r="F26" i="22"/>
  <c r="B26" i="22"/>
  <c r="I25" i="26"/>
  <c r="N6" i="26"/>
  <c r="N7" i="26" s="1"/>
  <c r="B23" i="34"/>
  <c r="F23" i="34"/>
  <c r="H23" i="34" s="1"/>
  <c r="I25" i="23"/>
  <c r="N6" i="23"/>
  <c r="N7" i="23" s="1"/>
  <c r="I26" i="24"/>
  <c r="N6" i="24"/>
  <c r="N7" i="24" s="1"/>
  <c r="I28" i="19"/>
  <c r="N6" i="19"/>
  <c r="N7" i="19" s="1"/>
  <c r="F18" i="42"/>
  <c r="G18" i="42" s="1"/>
  <c r="B18" i="42"/>
  <c r="B29" i="18"/>
  <c r="F29" i="18"/>
  <c r="G29" i="18" s="1"/>
  <c r="F27" i="21"/>
  <c r="G27" i="21" s="1"/>
  <c r="B27" i="21"/>
  <c r="I17" i="41"/>
  <c r="N6" i="41"/>
  <c r="N7" i="41" s="1"/>
  <c r="R132" i="2"/>
  <c r="N19" i="2"/>
  <c r="N20" i="2" s="1"/>
  <c r="B27" i="27"/>
  <c r="F27" i="27"/>
  <c r="H27" i="27" s="1"/>
  <c r="I17" i="40"/>
  <c r="N6" i="40"/>
  <c r="N7" i="40" s="1"/>
  <c r="N6" i="39"/>
  <c r="N7" i="39" s="1"/>
  <c r="I19" i="39"/>
  <c r="F30" i="3"/>
  <c r="G30" i="3" s="1"/>
  <c r="B30" i="3"/>
  <c r="F24" i="29"/>
  <c r="H24" i="29" s="1"/>
  <c r="I25" i="22"/>
  <c r="N6" i="22"/>
  <c r="N7" i="22" s="1"/>
  <c r="F30" i="4"/>
  <c r="B30" i="4"/>
  <c r="F22" i="37"/>
  <c r="B22" i="37"/>
  <c r="N6" i="34"/>
  <c r="N7" i="34" s="1"/>
  <c r="I22" i="34"/>
  <c r="F29" i="19"/>
  <c r="H29" i="19" s="1"/>
  <c r="B29" i="19"/>
  <c r="E30" i="17"/>
  <c r="F27" i="17"/>
  <c r="F37" i="17"/>
  <c r="F24" i="17"/>
  <c r="F38" i="17"/>
  <c r="F35" i="17"/>
  <c r="F31" i="17"/>
  <c r="F32" i="17"/>
  <c r="F20" i="17"/>
  <c r="F19" i="17"/>
  <c r="F23" i="17"/>
  <c r="F28" i="17"/>
  <c r="F26" i="17"/>
  <c r="F33" i="17"/>
  <c r="F21" i="17"/>
  <c r="F40" i="17"/>
  <c r="F25" i="17"/>
  <c r="F39" i="17"/>
  <c r="F34" i="17"/>
  <c r="F36" i="17"/>
  <c r="H30" i="3" l="1"/>
  <c r="Q21" i="17"/>
  <c r="R21" i="17" s="1"/>
  <c r="Q24" i="17"/>
  <c r="R24" i="17" s="1"/>
  <c r="Q28" i="17"/>
  <c r="R28" i="17" s="1"/>
  <c r="Q29" i="17"/>
  <c r="R29" i="17" s="1"/>
  <c r="T29" i="17" s="1"/>
  <c r="Q30" i="17"/>
  <c r="R30" i="17" s="1"/>
  <c r="G23" i="34"/>
  <c r="G24" i="29"/>
  <c r="Q19" i="17"/>
  <c r="R19" i="17" s="1"/>
  <c r="Q27" i="17"/>
  <c r="R27" i="17" s="1"/>
  <c r="Q26" i="17"/>
  <c r="R26" i="17" s="1"/>
  <c r="G39" i="17"/>
  <c r="G28" i="17"/>
  <c r="G33" i="17"/>
  <c r="G25" i="17"/>
  <c r="G32" i="17"/>
  <c r="G34" i="17"/>
  <c r="G23" i="17"/>
  <c r="G26" i="17"/>
  <c r="G35" i="17"/>
  <c r="G40" i="17"/>
  <c r="G24" i="17"/>
  <c r="G37" i="17"/>
  <c r="G27" i="17"/>
  <c r="G31" i="17"/>
  <c r="G20" i="17"/>
  <c r="G36" i="17"/>
  <c r="E42" i="17"/>
  <c r="G19" i="17"/>
  <c r="G38" i="17"/>
  <c r="G21" i="17"/>
  <c r="I24" i="29"/>
  <c r="I30" i="3"/>
  <c r="T20" i="17"/>
  <c r="R129" i="1"/>
  <c r="M20" i="1"/>
  <c r="D23" i="38"/>
  <c r="E23" i="38"/>
  <c r="Q18" i="17"/>
  <c r="R18" i="17" s="1"/>
  <c r="Q39" i="17"/>
  <c r="R39" i="17" s="1"/>
  <c r="T39" i="17" s="1"/>
  <c r="Q37" i="17"/>
  <c r="R37" i="17" s="1"/>
  <c r="Q38" i="17"/>
  <c r="R38" i="17" s="1"/>
  <c r="Q35" i="17"/>
  <c r="R35" i="17" s="1"/>
  <c r="Q40" i="17"/>
  <c r="R40" i="17" s="1"/>
  <c r="Q22" i="17"/>
  <c r="R22" i="17" s="1"/>
  <c r="T22" i="17" s="1"/>
  <c r="Q36" i="17"/>
  <c r="R36" i="17" s="1"/>
  <c r="Q34" i="17"/>
  <c r="R34" i="17" s="1"/>
  <c r="Q33" i="17"/>
  <c r="R33" i="17" s="1"/>
  <c r="D19" i="41"/>
  <c r="E19" i="41"/>
  <c r="D24" i="31"/>
  <c r="E24" i="31"/>
  <c r="I26" i="28"/>
  <c r="N6" i="28"/>
  <c r="N7" i="28" s="1"/>
  <c r="I23" i="34"/>
  <c r="G26" i="22"/>
  <c r="D27" i="22"/>
  <c r="E27" i="22"/>
  <c r="N7" i="3"/>
  <c r="D26" i="25"/>
  <c r="E26" i="25"/>
  <c r="H20" i="39"/>
  <c r="D21" i="39"/>
  <c r="E21" i="39"/>
  <c r="D19" i="40"/>
  <c r="E19" i="40"/>
  <c r="H23" i="31"/>
  <c r="Q32" i="17"/>
  <c r="R32" i="17" s="1"/>
  <c r="G27" i="28"/>
  <c r="D28" i="28"/>
  <c r="H27" i="28"/>
  <c r="G27" i="24"/>
  <c r="D28" i="24"/>
  <c r="E28" i="24"/>
  <c r="D27" i="23"/>
  <c r="E27" i="23"/>
  <c r="G22" i="38"/>
  <c r="D27" i="26"/>
  <c r="E27" i="26"/>
  <c r="D23" i="37"/>
  <c r="E23" i="37"/>
  <c r="D31" i="4"/>
  <c r="E31" i="4"/>
  <c r="G22" i="37"/>
  <c r="H30" i="4"/>
  <c r="H29" i="18"/>
  <c r="I29" i="18" s="1"/>
  <c r="D30" i="18"/>
  <c r="E30" i="18"/>
  <c r="H18" i="42"/>
  <c r="D19" i="42"/>
  <c r="E19" i="42"/>
  <c r="D24" i="34"/>
  <c r="E24" i="34"/>
  <c r="H18" i="41"/>
  <c r="H25" i="25"/>
  <c r="G23" i="31"/>
  <c r="Q25" i="17"/>
  <c r="R25" i="17" s="1"/>
  <c r="Q31" i="17"/>
  <c r="R31" i="17" s="1"/>
  <c r="H26" i="23"/>
  <c r="H22" i="38"/>
  <c r="H27" i="21"/>
  <c r="D28" i="21"/>
  <c r="E28" i="21"/>
  <c r="G29" i="19"/>
  <c r="I29" i="19" s="1"/>
  <c r="D30" i="19"/>
  <c r="E30" i="19"/>
  <c r="H22" i="37"/>
  <c r="G30" i="4"/>
  <c r="D25" i="29"/>
  <c r="E25" i="29"/>
  <c r="D31" i="3"/>
  <c r="E31" i="3"/>
  <c r="G27" i="27"/>
  <c r="I27" i="27" s="1"/>
  <c r="D28" i="27"/>
  <c r="E28" i="27"/>
  <c r="H26" i="22"/>
  <c r="G18" i="41"/>
  <c r="H18" i="40"/>
  <c r="I18" i="40" s="1"/>
  <c r="H23" i="35"/>
  <c r="D24" i="35"/>
  <c r="E24" i="35"/>
  <c r="Q23" i="17"/>
  <c r="R23" i="17" s="1"/>
  <c r="H26" i="26"/>
  <c r="H27" i="24"/>
  <c r="F18" i="17"/>
  <c r="F30" i="17"/>
  <c r="T28" i="17" l="1"/>
  <c r="T26" i="17"/>
  <c r="T21" i="17"/>
  <c r="T19" i="17"/>
  <c r="T24" i="17"/>
  <c r="T31" i="17"/>
  <c r="T27" i="17"/>
  <c r="N19" i="1"/>
  <c r="N20" i="1" s="1"/>
  <c r="I22" i="38"/>
  <c r="T32" i="17"/>
  <c r="T33" i="17"/>
  <c r="T40" i="17"/>
  <c r="T23" i="17"/>
  <c r="T34" i="17"/>
  <c r="T35" i="17"/>
  <c r="T37" i="17"/>
  <c r="F42" i="17"/>
  <c r="G18" i="17"/>
  <c r="G30" i="17"/>
  <c r="T30" i="17" s="1"/>
  <c r="F28" i="21"/>
  <c r="B28" i="21"/>
  <c r="F23" i="38"/>
  <c r="G23" i="38" s="1"/>
  <c r="B23" i="38"/>
  <c r="R130" i="1"/>
  <c r="I26" i="23"/>
  <c r="F24" i="34"/>
  <c r="G24" i="34" s="1"/>
  <c r="B24" i="34"/>
  <c r="I30" i="4"/>
  <c r="B28" i="28"/>
  <c r="I23" i="35"/>
  <c r="F31" i="3"/>
  <c r="B31" i="3"/>
  <c r="I20" i="39"/>
  <c r="I27" i="24"/>
  <c r="F28" i="27"/>
  <c r="G28" i="27" s="1"/>
  <c r="B28" i="27"/>
  <c r="T25" i="17"/>
  <c r="I18" i="41"/>
  <c r="F30" i="18"/>
  <c r="B30" i="18"/>
  <c r="F23" i="37"/>
  <c r="B23" i="37"/>
  <c r="B27" i="26"/>
  <c r="F27" i="26"/>
  <c r="H27" i="26" s="1"/>
  <c r="B27" i="23"/>
  <c r="F27" i="23"/>
  <c r="H27" i="23" s="1"/>
  <c r="E28" i="28"/>
  <c r="F28" i="28" s="1"/>
  <c r="G28" i="28" s="1"/>
  <c r="F19" i="40"/>
  <c r="H19" i="40" s="1"/>
  <c r="B19" i="40"/>
  <c r="B24" i="31"/>
  <c r="F24" i="31"/>
  <c r="G24" i="31" s="1"/>
  <c r="R42" i="17"/>
  <c r="I27" i="21"/>
  <c r="B31" i="4"/>
  <c r="F31" i="4"/>
  <c r="H31" i="4" s="1"/>
  <c r="B28" i="24"/>
  <c r="F28" i="24"/>
  <c r="G28" i="24" s="1"/>
  <c r="F21" i="39"/>
  <c r="H21" i="39" s="1"/>
  <c r="B21" i="39"/>
  <c r="F19" i="41"/>
  <c r="G19" i="41" s="1"/>
  <c r="B19" i="41"/>
  <c r="I22" i="37"/>
  <c r="I26" i="26"/>
  <c r="B24" i="35"/>
  <c r="F24" i="35"/>
  <c r="H24" i="35" s="1"/>
  <c r="I26" i="22"/>
  <c r="F25" i="29"/>
  <c r="G25" i="29" s="1"/>
  <c r="F30" i="19"/>
  <c r="H30" i="19" s="1"/>
  <c r="B30" i="19"/>
  <c r="B19" i="42"/>
  <c r="F19" i="42"/>
  <c r="H19" i="42" s="1"/>
  <c r="I18" i="42"/>
  <c r="I27" i="28"/>
  <c r="I23" i="31"/>
  <c r="B26" i="25"/>
  <c r="F26" i="25"/>
  <c r="G26" i="25" s="1"/>
  <c r="B27" i="22"/>
  <c r="F27" i="22"/>
  <c r="H27" i="22" s="1"/>
  <c r="T36" i="17"/>
  <c r="T38" i="17"/>
  <c r="I25" i="25"/>
  <c r="G27" i="22" l="1"/>
  <c r="G31" i="4"/>
  <c r="G19" i="40"/>
  <c r="I19" i="40" s="1"/>
  <c r="G27" i="23"/>
  <c r="I27" i="23" s="1"/>
  <c r="O19" i="1"/>
  <c r="O20" i="1" s="1"/>
  <c r="I31" i="4"/>
  <c r="H24" i="34"/>
  <c r="I24" i="34" s="1"/>
  <c r="G19" i="42"/>
  <c r="I19" i="42" s="1"/>
  <c r="I27" i="22"/>
  <c r="G27" i="26"/>
  <c r="I27" i="26" s="1"/>
  <c r="D28" i="26"/>
  <c r="E28" i="26"/>
  <c r="H23" i="37"/>
  <c r="D24" i="37"/>
  <c r="E24" i="37"/>
  <c r="D31" i="18"/>
  <c r="E31" i="18"/>
  <c r="D32" i="3"/>
  <c r="D33" i="3"/>
  <c r="E32" i="3"/>
  <c r="E33" i="3"/>
  <c r="R131" i="1"/>
  <c r="D29" i="27"/>
  <c r="E29" i="27"/>
  <c r="G28" i="21"/>
  <c r="D29" i="21"/>
  <c r="E29" i="21"/>
  <c r="D31" i="19"/>
  <c r="E31" i="19"/>
  <c r="D29" i="24"/>
  <c r="E29" i="24"/>
  <c r="D25" i="31"/>
  <c r="E25" i="31"/>
  <c r="H26" i="25"/>
  <c r="I26" i="25" s="1"/>
  <c r="D27" i="25"/>
  <c r="E27" i="25"/>
  <c r="G30" i="19"/>
  <c r="I30" i="19" s="1"/>
  <c r="D32" i="4"/>
  <c r="E32" i="4"/>
  <c r="E33" i="4"/>
  <c r="D20" i="40"/>
  <c r="E20" i="40"/>
  <c r="D28" i="23"/>
  <c r="E28" i="23"/>
  <c r="G30" i="18"/>
  <c r="H28" i="27"/>
  <c r="H31" i="3"/>
  <c r="H28" i="21"/>
  <c r="T18" i="17"/>
  <c r="T42" i="17" s="1"/>
  <c r="G42" i="17"/>
  <c r="H19" i="41"/>
  <c r="D20" i="41"/>
  <c r="E20" i="41"/>
  <c r="H23" i="38"/>
  <c r="I23" i="38" s="1"/>
  <c r="D24" i="38"/>
  <c r="E24" i="38"/>
  <c r="D28" i="22"/>
  <c r="E28" i="22"/>
  <c r="D20" i="42"/>
  <c r="E20" i="42"/>
  <c r="H25" i="29"/>
  <c r="I25" i="29" s="1"/>
  <c r="D26" i="29"/>
  <c r="E26" i="29"/>
  <c r="G24" i="35"/>
  <c r="I24" i="35" s="1"/>
  <c r="D25" i="35"/>
  <c r="E25" i="35"/>
  <c r="G21" i="39"/>
  <c r="I21" i="39" s="1"/>
  <c r="D22" i="39"/>
  <c r="E22" i="39"/>
  <c r="H28" i="24"/>
  <c r="I28" i="24" s="1"/>
  <c r="H24" i="31"/>
  <c r="D29" i="28"/>
  <c r="E29" i="28" s="1"/>
  <c r="F29" i="28" s="1"/>
  <c r="G23" i="37"/>
  <c r="I23" i="37" s="1"/>
  <c r="H30" i="18"/>
  <c r="G31" i="3"/>
  <c r="H28" i="28"/>
  <c r="D25" i="34"/>
  <c r="E25" i="34"/>
  <c r="F43" i="17" l="1"/>
  <c r="F28" i="23"/>
  <c r="G28" i="23" s="1"/>
  <c r="B28" i="23"/>
  <c r="H28" i="23"/>
  <c r="I28" i="28"/>
  <c r="F20" i="42"/>
  <c r="B20" i="42"/>
  <c r="F20" i="41"/>
  <c r="B20" i="41"/>
  <c r="I28" i="27"/>
  <c r="B32" i="4"/>
  <c r="F32" i="4"/>
  <c r="D33" i="4" s="1"/>
  <c r="F29" i="24"/>
  <c r="H29" i="24" s="1"/>
  <c r="B29" i="24"/>
  <c r="G29" i="24"/>
  <c r="F31" i="19"/>
  <c r="G31" i="19" s="1"/>
  <c r="B31" i="19"/>
  <c r="F33" i="3"/>
  <c r="G33" i="3" s="1"/>
  <c r="B33" i="3"/>
  <c r="F28" i="26"/>
  <c r="G28" i="26" s="1"/>
  <c r="B28" i="26"/>
  <c r="B22" i="39"/>
  <c r="F22" i="39"/>
  <c r="G22" i="39" s="1"/>
  <c r="F27" i="25"/>
  <c r="B27" i="25"/>
  <c r="F31" i="18"/>
  <c r="G31" i="18" s="1"/>
  <c r="B31" i="18"/>
  <c r="I24" i="31"/>
  <c r="H29" i="28"/>
  <c r="D30" i="28"/>
  <c r="I28" i="21"/>
  <c r="F32" i="3"/>
  <c r="H32" i="3" s="1"/>
  <c r="B24" i="37"/>
  <c r="F24" i="37"/>
  <c r="G24" i="37" s="1"/>
  <c r="F25" i="34"/>
  <c r="B25" i="34"/>
  <c r="I30" i="18"/>
  <c r="I31" i="3"/>
  <c r="F29" i="21"/>
  <c r="G29" i="21" s="1"/>
  <c r="B29" i="21"/>
  <c r="F24" i="38"/>
  <c r="G24" i="38" s="1"/>
  <c r="B24" i="38"/>
  <c r="F26" i="29"/>
  <c r="H26" i="29" s="1"/>
  <c r="I19" i="41"/>
  <c r="B20" i="40"/>
  <c r="F20" i="40"/>
  <c r="H20" i="40" s="1"/>
  <c r="B29" i="28"/>
  <c r="G29" i="28"/>
  <c r="B25" i="35"/>
  <c r="F25" i="35"/>
  <c r="H25" i="35" s="1"/>
  <c r="F28" i="22"/>
  <c r="H28" i="22" s="1"/>
  <c r="B28" i="22"/>
  <c r="F25" i="31"/>
  <c r="H25" i="31" s="1"/>
  <c r="B25" i="31"/>
  <c r="B29" i="27"/>
  <c r="F29" i="27"/>
  <c r="G29" i="27" s="1"/>
  <c r="I29" i="28" l="1"/>
  <c r="H24" i="37"/>
  <c r="I24" i="37" s="1"/>
  <c r="H31" i="19"/>
  <c r="I31" i="19" s="1"/>
  <c r="H32" i="4"/>
  <c r="F33" i="4"/>
  <c r="H33" i="4" s="1"/>
  <c r="B33" i="4"/>
  <c r="D21" i="41"/>
  <c r="E21" i="41"/>
  <c r="D21" i="42"/>
  <c r="E21" i="42"/>
  <c r="I28" i="23"/>
  <c r="D30" i="27"/>
  <c r="E30" i="27"/>
  <c r="G25" i="35"/>
  <c r="I25" i="35" s="1"/>
  <c r="D26" i="35"/>
  <c r="E26" i="35"/>
  <c r="D25" i="38"/>
  <c r="E25" i="38"/>
  <c r="D30" i="21"/>
  <c r="E30" i="21"/>
  <c r="H31" i="18"/>
  <c r="I31" i="18" s="1"/>
  <c r="D32" i="18"/>
  <c r="E32" i="18"/>
  <c r="E33" i="18"/>
  <c r="D32" i="19"/>
  <c r="E33" i="19"/>
  <c r="E32" i="19"/>
  <c r="D30" i="24"/>
  <c r="E30" i="24"/>
  <c r="G32" i="4"/>
  <c r="H20" i="41"/>
  <c r="H20" i="42"/>
  <c r="D26" i="31"/>
  <c r="E26" i="31"/>
  <c r="D21" i="40"/>
  <c r="E21" i="40"/>
  <c r="B30" i="28"/>
  <c r="G25" i="31"/>
  <c r="I25" i="31" s="1"/>
  <c r="G26" i="29"/>
  <c r="I26" i="29" s="1"/>
  <c r="D27" i="29"/>
  <c r="E27" i="29"/>
  <c r="G25" i="34"/>
  <c r="D26" i="34"/>
  <c r="E26" i="34"/>
  <c r="H27" i="25"/>
  <c r="D28" i="25"/>
  <c r="E28" i="25"/>
  <c r="H33" i="3"/>
  <c r="I33" i="3" s="1"/>
  <c r="D34" i="3"/>
  <c r="E34" i="3"/>
  <c r="H29" i="27"/>
  <c r="I29" i="27" s="1"/>
  <c r="G28" i="22"/>
  <c r="I28" i="22" s="1"/>
  <c r="D29" i="22"/>
  <c r="E29" i="22"/>
  <c r="G20" i="40"/>
  <c r="I20" i="40" s="1"/>
  <c r="H24" i="38"/>
  <c r="I24" i="38" s="1"/>
  <c r="H29" i="21"/>
  <c r="H25" i="34"/>
  <c r="I25" i="34" s="1"/>
  <c r="D25" i="37"/>
  <c r="E25" i="37"/>
  <c r="G32" i="3"/>
  <c r="I32" i="3" s="1"/>
  <c r="E30" i="28"/>
  <c r="F30" i="28" s="1"/>
  <c r="H30" i="28" s="1"/>
  <c r="G27" i="25"/>
  <c r="H22" i="39"/>
  <c r="D23" i="39"/>
  <c r="E23" i="39"/>
  <c r="H28" i="26"/>
  <c r="I28" i="26" s="1"/>
  <c r="D29" i="26"/>
  <c r="E29" i="26"/>
  <c r="I29" i="24"/>
  <c r="G20" i="41"/>
  <c r="G20" i="42"/>
  <c r="D29" i="23"/>
  <c r="E29" i="23"/>
  <c r="I32" i="4" l="1"/>
  <c r="I27" i="25"/>
  <c r="F26" i="34"/>
  <c r="B26" i="34"/>
  <c r="F23" i="39"/>
  <c r="B23" i="39"/>
  <c r="B28" i="25"/>
  <c r="F28" i="25"/>
  <c r="F26" i="31"/>
  <c r="B26" i="31"/>
  <c r="B32" i="19"/>
  <c r="F32" i="19"/>
  <c r="D33" i="19" s="1"/>
  <c r="F32" i="18"/>
  <c r="D33" i="18" s="1"/>
  <c r="B32" i="18"/>
  <c r="F30" i="27"/>
  <c r="G30" i="27" s="1"/>
  <c r="B30" i="27"/>
  <c r="F21" i="42"/>
  <c r="B21" i="42"/>
  <c r="H21" i="42"/>
  <c r="B25" i="38"/>
  <c r="F25" i="38"/>
  <c r="F29" i="23"/>
  <c r="B29" i="23"/>
  <c r="F29" i="26"/>
  <c r="H29" i="26" s="1"/>
  <c r="B29" i="26"/>
  <c r="I29" i="21"/>
  <c r="B29" i="22"/>
  <c r="F29" i="22"/>
  <c r="H29" i="22" s="1"/>
  <c r="F34" i="3"/>
  <c r="B34" i="3"/>
  <c r="I20" i="42"/>
  <c r="B30" i="24"/>
  <c r="F30" i="24"/>
  <c r="H30" i="24" s="1"/>
  <c r="I22" i="39"/>
  <c r="F30" i="21"/>
  <c r="G30" i="21" s="1"/>
  <c r="B30" i="21"/>
  <c r="B26" i="35"/>
  <c r="F26" i="35"/>
  <c r="H26" i="35" s="1"/>
  <c r="G33" i="4"/>
  <c r="I33" i="4" s="1"/>
  <c r="D34" i="4"/>
  <c r="E34" i="4"/>
  <c r="D31" i="28"/>
  <c r="F25" i="37"/>
  <c r="B25" i="37"/>
  <c r="F27" i="29"/>
  <c r="G30" i="28"/>
  <c r="I30" i="28" s="1"/>
  <c r="F21" i="40"/>
  <c r="B21" i="40"/>
  <c r="I20" i="41"/>
  <c r="B21" i="41"/>
  <c r="F21" i="41"/>
  <c r="H21" i="41" s="1"/>
  <c r="G32" i="19" l="1"/>
  <c r="G30" i="24"/>
  <c r="I30" i="24" s="1"/>
  <c r="G32" i="18"/>
  <c r="D28" i="29"/>
  <c r="E28" i="29"/>
  <c r="G25" i="37"/>
  <c r="D26" i="37"/>
  <c r="E26" i="37"/>
  <c r="B31" i="28"/>
  <c r="D26" i="38"/>
  <c r="E26" i="38"/>
  <c r="D29" i="25"/>
  <c r="E29" i="25"/>
  <c r="D24" i="39"/>
  <c r="E24" i="39"/>
  <c r="G27" i="29"/>
  <c r="H29" i="23"/>
  <c r="D30" i="23"/>
  <c r="E30" i="23"/>
  <c r="B33" i="19"/>
  <c r="F33" i="19"/>
  <c r="G33" i="19" s="1"/>
  <c r="H26" i="31"/>
  <c r="D27" i="31"/>
  <c r="E27" i="31"/>
  <c r="G23" i="39"/>
  <c r="D27" i="34"/>
  <c r="E27" i="34"/>
  <c r="H21" i="40"/>
  <c r="D22" i="40"/>
  <c r="E22" i="40"/>
  <c r="G26" i="35"/>
  <c r="I26" i="35" s="1"/>
  <c r="D27" i="35"/>
  <c r="E27" i="35"/>
  <c r="D35" i="3"/>
  <c r="E35" i="3"/>
  <c r="H25" i="37"/>
  <c r="F34" i="4"/>
  <c r="H34" i="4" s="1"/>
  <c r="B34" i="4"/>
  <c r="D31" i="21"/>
  <c r="E31" i="21"/>
  <c r="H34" i="3"/>
  <c r="G29" i="26"/>
  <c r="I29" i="26" s="1"/>
  <c r="D30" i="26"/>
  <c r="E30" i="26"/>
  <c r="G25" i="38"/>
  <c r="D22" i="42"/>
  <c r="E22" i="42"/>
  <c r="D31" i="27"/>
  <c r="E31" i="27"/>
  <c r="F33" i="18"/>
  <c r="B33" i="18"/>
  <c r="G28" i="25"/>
  <c r="G26" i="34"/>
  <c r="G21" i="41"/>
  <c r="I21" i="41" s="1"/>
  <c r="D22" i="41"/>
  <c r="E22" i="41"/>
  <c r="G21" i="40"/>
  <c r="I21" i="40" s="1"/>
  <c r="H27" i="29"/>
  <c r="E31" i="28"/>
  <c r="F31" i="28" s="1"/>
  <c r="H31" i="28" s="1"/>
  <c r="H30" i="21"/>
  <c r="I30" i="21" s="1"/>
  <c r="D31" i="24"/>
  <c r="E31" i="24"/>
  <c r="G34" i="3"/>
  <c r="G29" i="22"/>
  <c r="I29" i="22" s="1"/>
  <c r="D30" i="22"/>
  <c r="E30" i="22"/>
  <c r="G29" i="23"/>
  <c r="H25" i="38"/>
  <c r="G21" i="42"/>
  <c r="I21" i="42" s="1"/>
  <c r="H30" i="27"/>
  <c r="I30" i="27" s="1"/>
  <c r="H32" i="18"/>
  <c r="H32" i="19"/>
  <c r="G26" i="31"/>
  <c r="H28" i="25"/>
  <c r="H23" i="39"/>
  <c r="H26" i="34"/>
  <c r="I32" i="18" l="1"/>
  <c r="I26" i="31"/>
  <c r="I29" i="23"/>
  <c r="G34" i="4"/>
  <c r="I34" i="4" s="1"/>
  <c r="H33" i="19"/>
  <c r="I33" i="19" s="1"/>
  <c r="G31" i="28"/>
  <c r="I31" i="28" s="1"/>
  <c r="B30" i="26"/>
  <c r="F30" i="26"/>
  <c r="G30" i="26" s="1"/>
  <c r="B26" i="38"/>
  <c r="F26" i="38"/>
  <c r="H26" i="38" s="1"/>
  <c r="B27" i="35"/>
  <c r="F27" i="35"/>
  <c r="H27" i="35" s="1"/>
  <c r="B30" i="23"/>
  <c r="F30" i="23"/>
  <c r="H30" i="23" s="1"/>
  <c r="B29" i="25"/>
  <c r="F29" i="25"/>
  <c r="G29" i="25" s="1"/>
  <c r="B30" i="22"/>
  <c r="F30" i="22"/>
  <c r="F22" i="40"/>
  <c r="B22" i="40"/>
  <c r="F26" i="37"/>
  <c r="B26" i="37"/>
  <c r="I32" i="19"/>
  <c r="D34" i="18"/>
  <c r="E34" i="18"/>
  <c r="I23" i="39"/>
  <c r="D32" i="28"/>
  <c r="F22" i="41"/>
  <c r="H22" i="41" s="1"/>
  <c r="B22" i="41"/>
  <c r="G33" i="18"/>
  <c r="I25" i="38"/>
  <c r="F27" i="31"/>
  <c r="B27" i="31"/>
  <c r="D34" i="19"/>
  <c r="E34" i="19"/>
  <c r="B31" i="24"/>
  <c r="F31" i="24"/>
  <c r="G31" i="24" s="1"/>
  <c r="I34" i="3"/>
  <c r="I25" i="37"/>
  <c r="I26" i="34"/>
  <c r="F22" i="42"/>
  <c r="G22" i="42" s="1"/>
  <c r="B22" i="42"/>
  <c r="I28" i="25"/>
  <c r="I27" i="29"/>
  <c r="H33" i="18"/>
  <c r="F31" i="27"/>
  <c r="B31" i="27"/>
  <c r="F31" i="21"/>
  <c r="G31" i="21" s="1"/>
  <c r="B31" i="21"/>
  <c r="D35" i="4"/>
  <c r="E35" i="4"/>
  <c r="F35" i="3"/>
  <c r="G35" i="3" s="1"/>
  <c r="B35" i="3"/>
  <c r="B27" i="34"/>
  <c r="F27" i="34"/>
  <c r="H27" i="34" s="1"/>
  <c r="F24" i="39"/>
  <c r="B24" i="39"/>
  <c r="F28" i="29"/>
  <c r="H28" i="29" s="1"/>
  <c r="G27" i="35" l="1"/>
  <c r="I27" i="35" s="1"/>
  <c r="G26" i="38"/>
  <c r="I33" i="18"/>
  <c r="B32" i="28"/>
  <c r="D31" i="22"/>
  <c r="E31" i="22"/>
  <c r="D28" i="34"/>
  <c r="E28" i="34"/>
  <c r="G27" i="31"/>
  <c r="D28" i="31"/>
  <c r="E28" i="31"/>
  <c r="D27" i="37"/>
  <c r="E27" i="37"/>
  <c r="D23" i="40"/>
  <c r="E23" i="40"/>
  <c r="B35" i="4"/>
  <c r="F35" i="4"/>
  <c r="D32" i="27"/>
  <c r="E32" i="27"/>
  <c r="G31" i="27"/>
  <c r="D36" i="3"/>
  <c r="E36" i="3"/>
  <c r="H31" i="27"/>
  <c r="H31" i="24"/>
  <c r="I31" i="24" s="1"/>
  <c r="D32" i="24"/>
  <c r="E32" i="24"/>
  <c r="B34" i="19"/>
  <c r="F34" i="19"/>
  <c r="H34" i="19" s="1"/>
  <c r="G22" i="41"/>
  <c r="I22" i="41" s="1"/>
  <c r="D23" i="41"/>
  <c r="E23" i="41"/>
  <c r="G26" i="37"/>
  <c r="G22" i="40"/>
  <c r="H30" i="22"/>
  <c r="G30" i="23"/>
  <c r="I30" i="23" s="1"/>
  <c r="D31" i="23"/>
  <c r="E31" i="23"/>
  <c r="I26" i="38"/>
  <c r="H30" i="26"/>
  <c r="I30" i="26" s="1"/>
  <c r="D31" i="26"/>
  <c r="E31" i="26"/>
  <c r="D32" i="21"/>
  <c r="E32" i="21"/>
  <c r="E33" i="21"/>
  <c r="G24" i="39"/>
  <c r="D25" i="39"/>
  <c r="E25" i="39"/>
  <c r="H31" i="21"/>
  <c r="I31" i="21" s="1"/>
  <c r="G28" i="29"/>
  <c r="I28" i="29" s="1"/>
  <c r="D29" i="29"/>
  <c r="E29" i="29"/>
  <c r="H24" i="39"/>
  <c r="G27" i="34"/>
  <c r="I27" i="34" s="1"/>
  <c r="H35" i="3"/>
  <c r="I35" i="3" s="1"/>
  <c r="H22" i="42"/>
  <c r="I22" i="42" s="1"/>
  <c r="D23" i="42"/>
  <c r="E23" i="42"/>
  <c r="H27" i="31"/>
  <c r="I27" i="31" s="1"/>
  <c r="E32" i="28"/>
  <c r="F32" i="28" s="1"/>
  <c r="H32" i="28" s="1"/>
  <c r="B34" i="18"/>
  <c r="F34" i="18"/>
  <c r="H26" i="37"/>
  <c r="H22" i="40"/>
  <c r="I22" i="40" s="1"/>
  <c r="G30" i="22"/>
  <c r="H29" i="25"/>
  <c r="I29" i="25" s="1"/>
  <c r="D30" i="25"/>
  <c r="E30" i="25"/>
  <c r="D28" i="35"/>
  <c r="E28" i="35"/>
  <c r="D27" i="38"/>
  <c r="E27" i="38"/>
  <c r="G34" i="19" l="1"/>
  <c r="I34" i="19" s="1"/>
  <c r="I24" i="39"/>
  <c r="I31" i="27"/>
  <c r="G32" i="28"/>
  <c r="I32" i="28" s="1"/>
  <c r="B25" i="39"/>
  <c r="F25" i="39"/>
  <c r="G25" i="39"/>
  <c r="H25" i="39"/>
  <c r="H35" i="4"/>
  <c r="D36" i="4"/>
  <c r="E36" i="4"/>
  <c r="F28" i="31"/>
  <c r="H28" i="31" s="1"/>
  <c r="B28" i="31"/>
  <c r="F30" i="25"/>
  <c r="B30" i="25"/>
  <c r="I26" i="37"/>
  <c r="F23" i="42"/>
  <c r="B23" i="42"/>
  <c r="F32" i="24"/>
  <c r="B32" i="24"/>
  <c r="B36" i="3"/>
  <c r="F36" i="3"/>
  <c r="H36" i="3"/>
  <c r="D35" i="18"/>
  <c r="E35" i="18"/>
  <c r="B28" i="34"/>
  <c r="F28" i="34"/>
  <c r="D33" i="28"/>
  <c r="E33" i="28" s="1"/>
  <c r="F33" i="28" s="1"/>
  <c r="I30" i="22"/>
  <c r="F23" i="41"/>
  <c r="B23" i="41"/>
  <c r="G23" i="41"/>
  <c r="D35" i="19"/>
  <c r="E35" i="19"/>
  <c r="F32" i="27"/>
  <c r="B32" i="27"/>
  <c r="F27" i="37"/>
  <c r="B27" i="37"/>
  <c r="F32" i="21"/>
  <c r="D33" i="21" s="1"/>
  <c r="B32" i="21"/>
  <c r="B23" i="40"/>
  <c r="F23" i="40"/>
  <c r="G23" i="40" s="1"/>
  <c r="B27" i="38"/>
  <c r="F27" i="38"/>
  <c r="G34" i="18"/>
  <c r="B28" i="35"/>
  <c r="F28" i="35"/>
  <c r="H34" i="18"/>
  <c r="F29" i="29"/>
  <c r="G29" i="29" s="1"/>
  <c r="F31" i="26"/>
  <c r="H31" i="26" s="1"/>
  <c r="B31" i="26"/>
  <c r="B31" i="23"/>
  <c r="F31" i="23"/>
  <c r="G31" i="23" s="1"/>
  <c r="G35" i="4"/>
  <c r="F31" i="22"/>
  <c r="B31" i="22"/>
  <c r="I35" i="4" l="1"/>
  <c r="H31" i="22"/>
  <c r="D32" i="22"/>
  <c r="E32" i="22"/>
  <c r="E33" i="22"/>
  <c r="G32" i="27"/>
  <c r="D33" i="27"/>
  <c r="E33" i="27"/>
  <c r="D29" i="34"/>
  <c r="E29" i="34"/>
  <c r="B33" i="28"/>
  <c r="G33" i="28"/>
  <c r="H33" i="28"/>
  <c r="G36" i="3"/>
  <c r="I36" i="3" s="1"/>
  <c r="D37" i="3"/>
  <c r="E37" i="3"/>
  <c r="G32" i="24"/>
  <c r="D33" i="24"/>
  <c r="E33" i="24"/>
  <c r="D24" i="42"/>
  <c r="E24" i="42"/>
  <c r="H30" i="25"/>
  <c r="D31" i="25"/>
  <c r="E31" i="25"/>
  <c r="I25" i="39"/>
  <c r="G27" i="38"/>
  <c r="D28" i="38"/>
  <c r="E28" i="38"/>
  <c r="D28" i="37"/>
  <c r="E28" i="37"/>
  <c r="I34" i="18"/>
  <c r="G32" i="21"/>
  <c r="G27" i="37"/>
  <c r="H32" i="27"/>
  <c r="I32" i="27" s="1"/>
  <c r="B35" i="19"/>
  <c r="F35" i="19"/>
  <c r="G35" i="19" s="1"/>
  <c r="D24" i="41"/>
  <c r="E24" i="41"/>
  <c r="H28" i="34"/>
  <c r="G23" i="42"/>
  <c r="F36" i="4"/>
  <c r="G36" i="4" s="1"/>
  <c r="B36" i="4"/>
  <c r="D26" i="39"/>
  <c r="E26" i="39"/>
  <c r="H28" i="35"/>
  <c r="D29" i="35"/>
  <c r="E29" i="35"/>
  <c r="D24" i="40"/>
  <c r="E24" i="40"/>
  <c r="D34" i="28"/>
  <c r="G28" i="31"/>
  <c r="I28" i="31" s="1"/>
  <c r="D29" i="31"/>
  <c r="E29" i="31"/>
  <c r="H29" i="29"/>
  <c r="I29" i="29" s="1"/>
  <c r="D30" i="29"/>
  <c r="E30" i="29"/>
  <c r="F33" i="21"/>
  <c r="G33" i="21" s="1"/>
  <c r="B33" i="21"/>
  <c r="G31" i="22"/>
  <c r="H31" i="23"/>
  <c r="I31" i="23" s="1"/>
  <c r="D32" i="23"/>
  <c r="E32" i="23"/>
  <c r="G31" i="26"/>
  <c r="I31" i="26" s="1"/>
  <c r="D32" i="26"/>
  <c r="E32" i="26"/>
  <c r="G28" i="35"/>
  <c r="I28" i="35" s="1"/>
  <c r="H27" i="38"/>
  <c r="H23" i="40"/>
  <c r="I23" i="40" s="1"/>
  <c r="H32" i="21"/>
  <c r="H27" i="37"/>
  <c r="H23" i="41"/>
  <c r="I23" i="41" s="1"/>
  <c r="G28" i="34"/>
  <c r="F35" i="18"/>
  <c r="G35" i="18" s="1"/>
  <c r="B35" i="18"/>
  <c r="H32" i="24"/>
  <c r="I32" i="24" s="1"/>
  <c r="H23" i="42"/>
  <c r="G30" i="25"/>
  <c r="I30" i="25" l="1"/>
  <c r="I32" i="21"/>
  <c r="I27" i="38"/>
  <c r="H36" i="4"/>
  <c r="I36" i="4" s="1"/>
  <c r="F29" i="35"/>
  <c r="G29" i="35" s="1"/>
  <c r="B29" i="35"/>
  <c r="B28" i="37"/>
  <c r="F28" i="37"/>
  <c r="I27" i="37"/>
  <c r="F29" i="31"/>
  <c r="H29" i="31" s="1"/>
  <c r="B29" i="31"/>
  <c r="I28" i="34"/>
  <c r="H35" i="19"/>
  <c r="I35" i="19" s="1"/>
  <c r="D36" i="19"/>
  <c r="E36" i="19"/>
  <c r="F31" i="25"/>
  <c r="H31" i="25" s="1"/>
  <c r="B31" i="25"/>
  <c r="F37" i="3"/>
  <c r="G37" i="3" s="1"/>
  <c r="B37" i="3"/>
  <c r="F33" i="27"/>
  <c r="H33" i="27" s="1"/>
  <c r="B33" i="27"/>
  <c r="F32" i="22"/>
  <c r="D33" i="22" s="1"/>
  <c r="B32" i="22"/>
  <c r="I23" i="42"/>
  <c r="H35" i="18"/>
  <c r="I35" i="18" s="1"/>
  <c r="D36" i="18"/>
  <c r="E36" i="18"/>
  <c r="B32" i="23"/>
  <c r="F32" i="23"/>
  <c r="G32" i="23" s="1"/>
  <c r="F30" i="29"/>
  <c r="F24" i="40"/>
  <c r="G24" i="40" s="1"/>
  <c r="B24" i="40"/>
  <c r="F33" i="24"/>
  <c r="G33" i="24" s="1"/>
  <c r="B33" i="24"/>
  <c r="I31" i="22"/>
  <c r="H33" i="21"/>
  <c r="I33" i="21" s="1"/>
  <c r="D34" i="21"/>
  <c r="E34" i="21"/>
  <c r="B34" i="28"/>
  <c r="B28" i="38"/>
  <c r="F28" i="38"/>
  <c r="H28" i="38" s="1"/>
  <c r="F24" i="42"/>
  <c r="G24" i="42" s="1"/>
  <c r="B24" i="42"/>
  <c r="F32" i="26"/>
  <c r="G32" i="26" s="1"/>
  <c r="B32" i="26"/>
  <c r="E34" i="28"/>
  <c r="F34" i="28" s="1"/>
  <c r="F26" i="39"/>
  <c r="G26" i="39" s="1"/>
  <c r="B26" i="39"/>
  <c r="D37" i="4"/>
  <c r="E37" i="4"/>
  <c r="F24" i="41"/>
  <c r="B24" i="41"/>
  <c r="I33" i="28"/>
  <c r="B29" i="34"/>
  <c r="F29" i="34"/>
  <c r="G31" i="25" l="1"/>
  <c r="I31" i="25" s="1"/>
  <c r="H37" i="3"/>
  <c r="I37" i="3" s="1"/>
  <c r="H26" i="39"/>
  <c r="I26" i="39" s="1"/>
  <c r="H24" i="42"/>
  <c r="I24" i="42" s="1"/>
  <c r="H32" i="23"/>
  <c r="I32" i="23" s="1"/>
  <c r="H34" i="28"/>
  <c r="D35" i="28"/>
  <c r="E35" i="28" s="1"/>
  <c r="G34" i="28"/>
  <c r="D30" i="34"/>
  <c r="E30" i="34"/>
  <c r="G28" i="38"/>
  <c r="I28" i="38" s="1"/>
  <c r="D29" i="38"/>
  <c r="E29" i="38"/>
  <c r="G32" i="22"/>
  <c r="B36" i="19"/>
  <c r="F36" i="19"/>
  <c r="G30" i="29"/>
  <c r="D31" i="29"/>
  <c r="E31" i="29"/>
  <c r="F33" i="22"/>
  <c r="B33" i="22"/>
  <c r="D30" i="31"/>
  <c r="E30" i="31"/>
  <c r="D29" i="37"/>
  <c r="E29" i="37"/>
  <c r="H24" i="41"/>
  <c r="D25" i="41"/>
  <c r="E25" i="41"/>
  <c r="H29" i="34"/>
  <c r="D34" i="24"/>
  <c r="E34" i="24"/>
  <c r="D25" i="40"/>
  <c r="E25" i="40"/>
  <c r="B36" i="18"/>
  <c r="F36" i="18"/>
  <c r="G36" i="18"/>
  <c r="H32" i="22"/>
  <c r="G29" i="31"/>
  <c r="I29" i="31" s="1"/>
  <c r="G28" i="37"/>
  <c r="D30" i="35"/>
  <c r="E30" i="35"/>
  <c r="G29" i="34"/>
  <c r="G24" i="41"/>
  <c r="B37" i="4"/>
  <c r="F37" i="4"/>
  <c r="H37" i="4" s="1"/>
  <c r="D27" i="39"/>
  <c r="E27" i="39"/>
  <c r="H32" i="26"/>
  <c r="I32" i="26" s="1"/>
  <c r="D33" i="26"/>
  <c r="E33" i="26"/>
  <c r="D25" i="42"/>
  <c r="E25" i="42"/>
  <c r="B34" i="21"/>
  <c r="F34" i="21"/>
  <c r="H34" i="21" s="1"/>
  <c r="H33" i="24"/>
  <c r="I33" i="24" s="1"/>
  <c r="H24" i="40"/>
  <c r="I24" i="40" s="1"/>
  <c r="H30" i="29"/>
  <c r="D33" i="23"/>
  <c r="E33" i="23"/>
  <c r="G33" i="27"/>
  <c r="I33" i="27" s="1"/>
  <c r="D34" i="27"/>
  <c r="E34" i="27"/>
  <c r="D38" i="3"/>
  <c r="E38" i="3"/>
  <c r="D32" i="25"/>
  <c r="E32" i="25"/>
  <c r="H28" i="37"/>
  <c r="H29" i="35"/>
  <c r="I29" i="35" s="1"/>
  <c r="I30" i="29" l="1"/>
  <c r="G37" i="4"/>
  <c r="I37" i="4" s="1"/>
  <c r="I34" i="28"/>
  <c r="I24" i="41"/>
  <c r="F29" i="37"/>
  <c r="G29" i="37" s="1"/>
  <c r="B29" i="37"/>
  <c r="F25" i="41"/>
  <c r="H25" i="41" s="1"/>
  <c r="B25" i="41"/>
  <c r="D34" i="22"/>
  <c r="E34" i="22"/>
  <c r="F35" i="28"/>
  <c r="B35" i="28"/>
  <c r="F25" i="40"/>
  <c r="H25" i="40" s="1"/>
  <c r="B25" i="40"/>
  <c r="H36" i="19"/>
  <c r="D37" i="19"/>
  <c r="E37" i="19"/>
  <c r="D37" i="18"/>
  <c r="E37" i="18"/>
  <c r="F34" i="27"/>
  <c r="H34" i="27" s="1"/>
  <c r="B34" i="27"/>
  <c r="D35" i="21"/>
  <c r="E35" i="21"/>
  <c r="F25" i="42"/>
  <c r="G25" i="42" s="1"/>
  <c r="B25" i="42"/>
  <c r="D38" i="4"/>
  <c r="E38" i="4"/>
  <c r="I32" i="22"/>
  <c r="F34" i="24"/>
  <c r="G34" i="24" s="1"/>
  <c r="B34" i="24"/>
  <c r="B30" i="31"/>
  <c r="F30" i="31"/>
  <c r="G30" i="31" s="1"/>
  <c r="H33" i="22"/>
  <c r="F29" i="38"/>
  <c r="H29" i="38" s="1"/>
  <c r="B29" i="38"/>
  <c r="B30" i="34"/>
  <c r="F30" i="34"/>
  <c r="H30" i="34" s="1"/>
  <c r="B38" i="3"/>
  <c r="F38" i="3"/>
  <c r="H38" i="3" s="1"/>
  <c r="B33" i="26"/>
  <c r="F33" i="26"/>
  <c r="H33" i="26" s="1"/>
  <c r="I28" i="37"/>
  <c r="F31" i="29"/>
  <c r="G31" i="29" s="1"/>
  <c r="F33" i="23"/>
  <c r="H33" i="23" s="1"/>
  <c r="B33" i="23"/>
  <c r="F32" i="25"/>
  <c r="B32" i="25"/>
  <c r="G34" i="21"/>
  <c r="I34" i="21" s="1"/>
  <c r="B27" i="39"/>
  <c r="F27" i="39"/>
  <c r="H27" i="39" s="1"/>
  <c r="F30" i="35"/>
  <c r="B30" i="35"/>
  <c r="H36" i="18"/>
  <c r="I36" i="18" s="1"/>
  <c r="I29" i="34"/>
  <c r="G33" i="22"/>
  <c r="G36" i="19"/>
  <c r="G38" i="3" l="1"/>
  <c r="I38" i="3" s="1"/>
  <c r="H25" i="42"/>
  <c r="I25" i="42" s="1"/>
  <c r="G29" i="38"/>
  <c r="I29" i="38" s="1"/>
  <c r="H29" i="37"/>
  <c r="I29" i="37" s="1"/>
  <c r="I36" i="19"/>
  <c r="G33" i="26"/>
  <c r="I33" i="26" s="1"/>
  <c r="H30" i="31"/>
  <c r="I30" i="31" s="1"/>
  <c r="H31" i="29"/>
  <c r="G30" i="34"/>
  <c r="I30" i="34" s="1"/>
  <c r="G30" i="35"/>
  <c r="D31" i="35"/>
  <c r="E31" i="35"/>
  <c r="D33" i="25"/>
  <c r="E33" i="25"/>
  <c r="F37" i="19"/>
  <c r="H37" i="19" s="1"/>
  <c r="B37" i="19"/>
  <c r="G35" i="28"/>
  <c r="D36" i="28"/>
  <c r="E36" i="28"/>
  <c r="G27" i="39"/>
  <c r="I27" i="39" s="1"/>
  <c r="D28" i="39"/>
  <c r="E28" i="39"/>
  <c r="H32" i="25"/>
  <c r="D34" i="26"/>
  <c r="E34" i="26"/>
  <c r="H34" i="24"/>
  <c r="I34" i="24" s="1"/>
  <c r="F35" i="21"/>
  <c r="H35" i="21" s="1"/>
  <c r="B35" i="21"/>
  <c r="G25" i="40"/>
  <c r="I25" i="40" s="1"/>
  <c r="G32" i="25"/>
  <c r="D39" i="3"/>
  <c r="E39" i="3"/>
  <c r="D31" i="34"/>
  <c r="E31" i="34"/>
  <c r="F37" i="18"/>
  <c r="B37" i="18"/>
  <c r="H35" i="28"/>
  <c r="B34" i="22"/>
  <c r="F34" i="22"/>
  <c r="H34" i="22" s="1"/>
  <c r="D26" i="41"/>
  <c r="E26" i="41"/>
  <c r="I31" i="29"/>
  <c r="D35" i="24"/>
  <c r="E35" i="24"/>
  <c r="G34" i="27"/>
  <c r="I34" i="27" s="1"/>
  <c r="D35" i="27"/>
  <c r="E35" i="27"/>
  <c r="D26" i="40"/>
  <c r="E26" i="40"/>
  <c r="H30" i="35"/>
  <c r="D32" i="29"/>
  <c r="E32" i="29"/>
  <c r="I33" i="22"/>
  <c r="G33" i="23"/>
  <c r="I33" i="23" s="1"/>
  <c r="D34" i="23"/>
  <c r="E34" i="23"/>
  <c r="D30" i="38"/>
  <c r="E30" i="38"/>
  <c r="D31" i="31"/>
  <c r="E31" i="31"/>
  <c r="B38" i="4"/>
  <c r="F38" i="4"/>
  <c r="H38" i="4"/>
  <c r="D26" i="42"/>
  <c r="E26" i="42"/>
  <c r="G25" i="41"/>
  <c r="I25" i="41" s="1"/>
  <c r="D30" i="37"/>
  <c r="E30" i="37"/>
  <c r="G34" i="22" l="1"/>
  <c r="I34" i="22" s="1"/>
  <c r="I30" i="35"/>
  <c r="B34" i="23"/>
  <c r="F34" i="23"/>
  <c r="G34" i="23" s="1"/>
  <c r="F39" i="3"/>
  <c r="G39" i="3" s="1"/>
  <c r="B39" i="3"/>
  <c r="B35" i="24"/>
  <c r="F35" i="24"/>
  <c r="G35" i="24" s="1"/>
  <c r="I32" i="25"/>
  <c r="B31" i="31"/>
  <c r="F31" i="31"/>
  <c r="H31" i="31" s="1"/>
  <c r="F26" i="40"/>
  <c r="G26" i="40" s="1"/>
  <c r="B26" i="40"/>
  <c r="B26" i="41"/>
  <c r="F26" i="41"/>
  <c r="G26" i="41" s="1"/>
  <c r="H37" i="18"/>
  <c r="D38" i="18"/>
  <c r="E38" i="18"/>
  <c r="B31" i="35"/>
  <c r="F31" i="35"/>
  <c r="H31" i="35" s="1"/>
  <c r="D39" i="4"/>
  <c r="E39" i="4"/>
  <c r="I35" i="28"/>
  <c r="F26" i="42"/>
  <c r="G26" i="42" s="1"/>
  <c r="B26" i="42"/>
  <c r="B30" i="38"/>
  <c r="F30" i="38"/>
  <c r="H30" i="38" s="1"/>
  <c r="B35" i="27"/>
  <c r="F35" i="27"/>
  <c r="H35" i="27" s="1"/>
  <c r="G35" i="27"/>
  <c r="G37" i="18"/>
  <c r="F31" i="34"/>
  <c r="G31" i="34" s="1"/>
  <c r="B31" i="34"/>
  <c r="D36" i="21"/>
  <c r="E36" i="21"/>
  <c r="F33" i="25"/>
  <c r="H33" i="25" s="1"/>
  <c r="B33" i="25"/>
  <c r="F32" i="29"/>
  <c r="F30" i="37"/>
  <c r="H30" i="37" s="1"/>
  <c r="B30" i="37"/>
  <c r="G38" i="4"/>
  <c r="I38" i="4" s="1"/>
  <c r="D35" i="22"/>
  <c r="E35" i="22"/>
  <c r="G35" i="21"/>
  <c r="I35" i="21" s="1"/>
  <c r="F34" i="26"/>
  <c r="H34" i="26" s="1"/>
  <c r="B34" i="26"/>
  <c r="F28" i="39"/>
  <c r="B28" i="39"/>
  <c r="H28" i="39"/>
  <c r="F36" i="28"/>
  <c r="G36" i="28" s="1"/>
  <c r="B36" i="28"/>
  <c r="G37" i="19"/>
  <c r="I37" i="19" s="1"/>
  <c r="D38" i="19"/>
  <c r="E38" i="19"/>
  <c r="I37" i="18" l="1"/>
  <c r="H31" i="34"/>
  <c r="I31" i="34" s="1"/>
  <c r="G30" i="38"/>
  <c r="I30" i="38" s="1"/>
  <c r="G33" i="25"/>
  <c r="I33" i="25" s="1"/>
  <c r="H35" i="24"/>
  <c r="B38" i="19"/>
  <c r="F38" i="19"/>
  <c r="H38" i="19" s="1"/>
  <c r="F35" i="22"/>
  <c r="H35" i="22" s="1"/>
  <c r="B35" i="22"/>
  <c r="D34" i="25"/>
  <c r="E34" i="25"/>
  <c r="I35" i="27"/>
  <c r="D32" i="35"/>
  <c r="E32" i="35"/>
  <c r="G31" i="31"/>
  <c r="I31" i="31" s="1"/>
  <c r="D32" i="31"/>
  <c r="E32" i="31"/>
  <c r="I35" i="24"/>
  <c r="F38" i="18"/>
  <c r="B38" i="18"/>
  <c r="D40" i="3"/>
  <c r="E40" i="3"/>
  <c r="D37" i="28"/>
  <c r="E37" i="28" s="1"/>
  <c r="D31" i="38"/>
  <c r="E31" i="38"/>
  <c r="F39" i="4"/>
  <c r="B39" i="4"/>
  <c r="D36" i="24"/>
  <c r="E36" i="24"/>
  <c r="H39" i="3"/>
  <c r="I39" i="3" s="1"/>
  <c r="H34" i="23"/>
  <c r="I34" i="23" s="1"/>
  <c r="D35" i="23"/>
  <c r="E35" i="23"/>
  <c r="H32" i="29"/>
  <c r="D33" i="29"/>
  <c r="E33" i="29"/>
  <c r="D29" i="39"/>
  <c r="E29" i="39"/>
  <c r="D35" i="26"/>
  <c r="E35" i="26"/>
  <c r="D31" i="37"/>
  <c r="E31" i="37"/>
  <c r="H36" i="28"/>
  <c r="I36" i="28" s="1"/>
  <c r="G28" i="39"/>
  <c r="I28" i="39" s="1"/>
  <c r="G34" i="26"/>
  <c r="I34" i="26" s="1"/>
  <c r="G30" i="37"/>
  <c r="I30" i="37" s="1"/>
  <c r="G32" i="29"/>
  <c r="B36" i="21"/>
  <c r="F36" i="21"/>
  <c r="H36" i="21" s="1"/>
  <c r="D32" i="34"/>
  <c r="E32" i="34"/>
  <c r="D36" i="27"/>
  <c r="E36" i="27"/>
  <c r="H26" i="42"/>
  <c r="I26" i="42" s="1"/>
  <c r="D27" i="42"/>
  <c r="E27" i="42"/>
  <c r="G31" i="35"/>
  <c r="I31" i="35" s="1"/>
  <c r="H26" i="41"/>
  <c r="I26" i="41" s="1"/>
  <c r="D27" i="41"/>
  <c r="E27" i="41"/>
  <c r="H26" i="40"/>
  <c r="I26" i="40" s="1"/>
  <c r="D27" i="40"/>
  <c r="E27" i="40"/>
  <c r="G36" i="21" l="1"/>
  <c r="I36" i="21" s="1"/>
  <c r="G38" i="19"/>
  <c r="I38" i="19" s="1"/>
  <c r="B35" i="23"/>
  <c r="F35" i="23"/>
  <c r="H35" i="23" s="1"/>
  <c r="D39" i="18"/>
  <c r="E39" i="18"/>
  <c r="F32" i="31"/>
  <c r="H32" i="31" s="1"/>
  <c r="B32" i="31"/>
  <c r="B32" i="35"/>
  <c r="F32" i="35"/>
  <c r="H32" i="35" s="1"/>
  <c r="F34" i="25"/>
  <c r="G34" i="25" s="1"/>
  <c r="B34" i="25"/>
  <c r="D36" i="22"/>
  <c r="E36" i="22"/>
  <c r="F27" i="40"/>
  <c r="H27" i="40" s="1"/>
  <c r="B27" i="40"/>
  <c r="F40" i="3"/>
  <c r="B40" i="3"/>
  <c r="H40" i="3"/>
  <c r="F35" i="26"/>
  <c r="G35" i="26" s="1"/>
  <c r="B35" i="26"/>
  <c r="B36" i="24"/>
  <c r="F36" i="24"/>
  <c r="G36" i="24" s="1"/>
  <c r="G39" i="4"/>
  <c r="D40" i="4"/>
  <c r="E40" i="4"/>
  <c r="F36" i="27"/>
  <c r="H36" i="27" s="1"/>
  <c r="B36" i="27"/>
  <c r="I32" i="29"/>
  <c r="B37" i="28"/>
  <c r="F37" i="28"/>
  <c r="H37" i="28" s="1"/>
  <c r="G38" i="18"/>
  <c r="G35" i="22"/>
  <c r="I35" i="22" s="1"/>
  <c r="F32" i="34"/>
  <c r="H32" i="34" s="1"/>
  <c r="B32" i="34"/>
  <c r="G32" i="34"/>
  <c r="F33" i="29"/>
  <c r="G33" i="29" s="1"/>
  <c r="B27" i="41"/>
  <c r="F27" i="41"/>
  <c r="F27" i="42"/>
  <c r="H27" i="42" s="1"/>
  <c r="B27" i="42"/>
  <c r="D37" i="21"/>
  <c r="E37" i="21"/>
  <c r="F31" i="37"/>
  <c r="B31" i="37"/>
  <c r="F29" i="39"/>
  <c r="G29" i="39" s="1"/>
  <c r="B29" i="39"/>
  <c r="H39" i="4"/>
  <c r="I39" i="4" s="1"/>
  <c r="F31" i="38"/>
  <c r="B31" i="38"/>
  <c r="H38" i="18"/>
  <c r="D39" i="19"/>
  <c r="E39" i="19"/>
  <c r="G36" i="27" l="1"/>
  <c r="I32" i="34"/>
  <c r="F39" i="19"/>
  <c r="B39" i="19"/>
  <c r="H31" i="38"/>
  <c r="D32" i="38"/>
  <c r="E32" i="38"/>
  <c r="H27" i="41"/>
  <c r="D28" i="41"/>
  <c r="E28" i="41"/>
  <c r="F40" i="4"/>
  <c r="B40" i="4"/>
  <c r="F36" i="22"/>
  <c r="B36" i="22"/>
  <c r="F39" i="18"/>
  <c r="B39" i="18"/>
  <c r="D30" i="39"/>
  <c r="E30" i="39"/>
  <c r="D32" i="37"/>
  <c r="E32" i="37"/>
  <c r="H34" i="25"/>
  <c r="I34" i="25" s="1"/>
  <c r="G31" i="38"/>
  <c r="H29" i="39"/>
  <c r="I29" i="39" s="1"/>
  <c r="H31" i="37"/>
  <c r="G27" i="42"/>
  <c r="I27" i="42" s="1"/>
  <c r="D28" i="42"/>
  <c r="E28" i="42"/>
  <c r="D37" i="27"/>
  <c r="E37" i="27"/>
  <c r="G27" i="40"/>
  <c r="I27" i="40" s="1"/>
  <c r="D28" i="40"/>
  <c r="E28" i="40"/>
  <c r="G32" i="35"/>
  <c r="I32" i="35" s="1"/>
  <c r="D33" i="35"/>
  <c r="E33" i="35"/>
  <c r="G32" i="31"/>
  <c r="I32" i="31" s="1"/>
  <c r="D33" i="31"/>
  <c r="E33" i="31"/>
  <c r="G35" i="23"/>
  <c r="I35" i="23" s="1"/>
  <c r="D36" i="23"/>
  <c r="E36" i="23"/>
  <c r="D38" i="28"/>
  <c r="E38" i="28" s="1"/>
  <c r="F38" i="28" s="1"/>
  <c r="D36" i="26"/>
  <c r="E36" i="26"/>
  <c r="D35" i="25"/>
  <c r="E35" i="25"/>
  <c r="I38" i="18"/>
  <c r="G31" i="37"/>
  <c r="F37" i="21"/>
  <c r="G37" i="21" s="1"/>
  <c r="B37" i="21"/>
  <c r="G27" i="41"/>
  <c r="H33" i="29"/>
  <c r="I33" i="29" s="1"/>
  <c r="D34" i="29"/>
  <c r="E34" i="29"/>
  <c r="D33" i="34"/>
  <c r="E33" i="34"/>
  <c r="G37" i="28"/>
  <c r="I37" i="28" s="1"/>
  <c r="I36" i="27"/>
  <c r="H36" i="24"/>
  <c r="I36" i="24" s="1"/>
  <c r="D37" i="24"/>
  <c r="E37" i="24"/>
  <c r="H35" i="26"/>
  <c r="I35" i="26" s="1"/>
  <c r="G40" i="3"/>
  <c r="I40" i="3" s="1"/>
  <c r="D41" i="3"/>
  <c r="E41" i="3"/>
  <c r="H37" i="21" l="1"/>
  <c r="I37" i="21" s="1"/>
  <c r="F33" i="31"/>
  <c r="G33" i="31" s="1"/>
  <c r="B33" i="31"/>
  <c r="D40" i="19"/>
  <c r="E40" i="19"/>
  <c r="F34" i="29"/>
  <c r="H34" i="29"/>
  <c r="B36" i="26"/>
  <c r="F36" i="26"/>
  <c r="H36" i="26" s="1"/>
  <c r="B36" i="23"/>
  <c r="F36" i="23"/>
  <c r="G36" i="23" s="1"/>
  <c r="B37" i="27"/>
  <c r="F37" i="27"/>
  <c r="H37" i="27" s="1"/>
  <c r="I31" i="37"/>
  <c r="F30" i="39"/>
  <c r="G30" i="39" s="1"/>
  <c r="B30" i="39"/>
  <c r="D40" i="18"/>
  <c r="E40" i="18"/>
  <c r="D37" i="22"/>
  <c r="E37" i="22"/>
  <c r="D41" i="4"/>
  <c r="E41" i="4"/>
  <c r="H39" i="19"/>
  <c r="B41" i="3"/>
  <c r="F41" i="3"/>
  <c r="G41" i="3" s="1"/>
  <c r="B37" i="24"/>
  <c r="F37" i="24"/>
  <c r="G37" i="24" s="1"/>
  <c r="H37" i="24"/>
  <c r="B35" i="25"/>
  <c r="F35" i="25"/>
  <c r="H35" i="25" s="1"/>
  <c r="D39" i="28"/>
  <c r="E39" i="28" s="1"/>
  <c r="F39" i="28" s="1"/>
  <c r="B28" i="40"/>
  <c r="F28" i="40"/>
  <c r="G39" i="18"/>
  <c r="H36" i="22"/>
  <c r="G40" i="4"/>
  <c r="G39" i="19"/>
  <c r="F33" i="34"/>
  <c r="B33" i="34"/>
  <c r="I27" i="41"/>
  <c r="D38" i="21"/>
  <c r="E38" i="21"/>
  <c r="B38" i="28"/>
  <c r="G38" i="28"/>
  <c r="H38" i="28"/>
  <c r="F33" i="35"/>
  <c r="H33" i="35" s="1"/>
  <c r="B33" i="35"/>
  <c r="G33" i="35"/>
  <c r="B28" i="42"/>
  <c r="F28" i="42"/>
  <c r="H28" i="42" s="1"/>
  <c r="G28" i="42"/>
  <c r="I31" i="38"/>
  <c r="B32" i="37"/>
  <c r="F32" i="37"/>
  <c r="G32" i="37" s="1"/>
  <c r="H39" i="18"/>
  <c r="G36" i="22"/>
  <c r="H40" i="4"/>
  <c r="F28" i="41"/>
  <c r="B28" i="41"/>
  <c r="G28" i="41"/>
  <c r="B32" i="38"/>
  <c r="F32" i="38"/>
  <c r="H32" i="38"/>
  <c r="G32" i="38"/>
  <c r="H33" i="31" l="1"/>
  <c r="H41" i="3"/>
  <c r="I28" i="42"/>
  <c r="G35" i="25"/>
  <c r="I35" i="25" s="1"/>
  <c r="I33" i="35"/>
  <c r="I37" i="24"/>
  <c r="I36" i="22"/>
  <c r="G37" i="27"/>
  <c r="I37" i="27" s="1"/>
  <c r="H36" i="23"/>
  <c r="I36" i="23" s="1"/>
  <c r="G36" i="26"/>
  <c r="I36" i="26" s="1"/>
  <c r="I38" i="28"/>
  <c r="F38" i="21"/>
  <c r="H38" i="21" s="1"/>
  <c r="B38" i="21"/>
  <c r="D29" i="40"/>
  <c r="E29" i="40"/>
  <c r="B37" i="22"/>
  <c r="F37" i="22"/>
  <c r="D33" i="37"/>
  <c r="E33" i="37"/>
  <c r="D34" i="34"/>
  <c r="E34" i="34"/>
  <c r="I41" i="3"/>
  <c r="G34" i="29"/>
  <c r="I34" i="29" s="1"/>
  <c r="D35" i="29"/>
  <c r="E35" i="29"/>
  <c r="I33" i="31"/>
  <c r="I32" i="38"/>
  <c r="I39" i="18"/>
  <c r="D29" i="42"/>
  <c r="E29" i="42"/>
  <c r="G33" i="34"/>
  <c r="I39" i="19"/>
  <c r="H28" i="40"/>
  <c r="D40" i="28"/>
  <c r="E40" i="28" s="1"/>
  <c r="F40" i="28" s="1"/>
  <c r="D36" i="25"/>
  <c r="E36" i="25"/>
  <c r="D38" i="24"/>
  <c r="E38" i="24"/>
  <c r="D42" i="3"/>
  <c r="E42" i="3"/>
  <c r="B41" i="4"/>
  <c r="F41" i="4"/>
  <c r="G41" i="4" s="1"/>
  <c r="B40" i="18"/>
  <c r="F40" i="18"/>
  <c r="G40" i="18" s="1"/>
  <c r="D31" i="39"/>
  <c r="E31" i="39"/>
  <c r="D38" i="27"/>
  <c r="E38" i="27"/>
  <c r="D37" i="23"/>
  <c r="E37" i="23"/>
  <c r="D37" i="26"/>
  <c r="E37" i="26"/>
  <c r="D33" i="38"/>
  <c r="E33" i="38"/>
  <c r="H28" i="41"/>
  <c r="I28" i="41" s="1"/>
  <c r="D29" i="41"/>
  <c r="E29" i="41"/>
  <c r="H32" i="37"/>
  <c r="I32" i="37" s="1"/>
  <c r="D34" i="35"/>
  <c r="E34" i="35"/>
  <c r="H33" i="34"/>
  <c r="I40" i="4"/>
  <c r="G28" i="40"/>
  <c r="B39" i="28"/>
  <c r="G39" i="28"/>
  <c r="H39" i="28"/>
  <c r="H30" i="39"/>
  <c r="I30" i="39" s="1"/>
  <c r="F40" i="19"/>
  <c r="B40" i="19"/>
  <c r="D34" i="31"/>
  <c r="E34" i="31"/>
  <c r="G38" i="21" l="1"/>
  <c r="I38" i="21" s="1"/>
  <c r="I39" i="28"/>
  <c r="H40" i="18"/>
  <c r="I40" i="18" s="1"/>
  <c r="I33" i="34"/>
  <c r="G40" i="19"/>
  <c r="D41" i="19"/>
  <c r="E41" i="19"/>
  <c r="F29" i="41"/>
  <c r="B29" i="41"/>
  <c r="F42" i="3"/>
  <c r="G42" i="3" s="1"/>
  <c r="B42" i="3"/>
  <c r="F36" i="25"/>
  <c r="B36" i="25"/>
  <c r="F35" i="29"/>
  <c r="G35" i="29" s="1"/>
  <c r="D38" i="22"/>
  <c r="E38" i="22"/>
  <c r="B34" i="31"/>
  <c r="F34" i="31"/>
  <c r="G34" i="31" s="1"/>
  <c r="H34" i="31"/>
  <c r="F34" i="35"/>
  <c r="B34" i="35"/>
  <c r="F37" i="26"/>
  <c r="B37" i="26"/>
  <c r="B38" i="27"/>
  <c r="F38" i="27"/>
  <c r="H41" i="4"/>
  <c r="I41" i="4" s="1"/>
  <c r="D42" i="4"/>
  <c r="E42" i="4"/>
  <c r="D41" i="28"/>
  <c r="E41" i="28" s="1"/>
  <c r="F41" i="28" s="1"/>
  <c r="F34" i="34"/>
  <c r="B34" i="34"/>
  <c r="H40" i="19"/>
  <c r="D41" i="18"/>
  <c r="E41" i="18"/>
  <c r="B38" i="24"/>
  <c r="F38" i="24"/>
  <c r="H38" i="24" s="1"/>
  <c r="B40" i="28"/>
  <c r="G40" i="28"/>
  <c r="H40" i="28"/>
  <c r="I40" i="28" s="1"/>
  <c r="H37" i="22"/>
  <c r="F33" i="38"/>
  <c r="B33" i="38"/>
  <c r="G33" i="38"/>
  <c r="F37" i="23"/>
  <c r="H37" i="23" s="1"/>
  <c r="B37" i="23"/>
  <c r="B31" i="39"/>
  <c r="F31" i="39"/>
  <c r="G31" i="39" s="1"/>
  <c r="I28" i="40"/>
  <c r="B29" i="42"/>
  <c r="F29" i="42"/>
  <c r="H29" i="42" s="1"/>
  <c r="F33" i="37"/>
  <c r="B33" i="37"/>
  <c r="G37" i="22"/>
  <c r="F29" i="40"/>
  <c r="B29" i="40"/>
  <c r="D39" i="21"/>
  <c r="E39" i="21"/>
  <c r="H31" i="39" l="1"/>
  <c r="G38" i="24"/>
  <c r="I38" i="24"/>
  <c r="I40" i="19"/>
  <c r="I31" i="39"/>
  <c r="I37" i="22"/>
  <c r="B39" i="21"/>
  <c r="F39" i="21"/>
  <c r="G39" i="21" s="1"/>
  <c r="D30" i="40"/>
  <c r="E30" i="40"/>
  <c r="H33" i="37"/>
  <c r="D34" i="37"/>
  <c r="E34" i="37"/>
  <c r="G38" i="27"/>
  <c r="D39" i="27"/>
  <c r="E39" i="27"/>
  <c r="G34" i="35"/>
  <c r="D35" i="35"/>
  <c r="E35" i="35"/>
  <c r="H36" i="25"/>
  <c r="D37" i="25"/>
  <c r="E37" i="25"/>
  <c r="D30" i="41"/>
  <c r="E30" i="41"/>
  <c r="G29" i="40"/>
  <c r="B41" i="18"/>
  <c r="F41" i="18"/>
  <c r="G41" i="18" s="1"/>
  <c r="H34" i="34"/>
  <c r="D35" i="34"/>
  <c r="E35" i="34"/>
  <c r="F42" i="4"/>
  <c r="B42" i="4"/>
  <c r="D38" i="26"/>
  <c r="E38" i="26"/>
  <c r="D36" i="29"/>
  <c r="E36" i="29"/>
  <c r="G29" i="41"/>
  <c r="H29" i="40"/>
  <c r="G33" i="37"/>
  <c r="G29" i="42"/>
  <c r="I29" i="42" s="1"/>
  <c r="D30" i="42"/>
  <c r="E30" i="42"/>
  <c r="D34" i="38"/>
  <c r="E34" i="38"/>
  <c r="D39" i="24"/>
  <c r="E39" i="24"/>
  <c r="D42" i="28"/>
  <c r="E42" i="28" s="1"/>
  <c r="F42" i="28" s="1"/>
  <c r="G37" i="26"/>
  <c r="H34" i="35"/>
  <c r="I34" i="31"/>
  <c r="F38" i="22"/>
  <c r="B38" i="22"/>
  <c r="G36" i="25"/>
  <c r="H29" i="41"/>
  <c r="B41" i="19"/>
  <c r="F41" i="19"/>
  <c r="G41" i="19" s="1"/>
  <c r="D32" i="39"/>
  <c r="E32" i="39"/>
  <c r="G37" i="23"/>
  <c r="I37" i="23" s="1"/>
  <c r="D38" i="23"/>
  <c r="E38" i="23"/>
  <c r="H33" i="38"/>
  <c r="I33" i="38" s="1"/>
  <c r="G34" i="34"/>
  <c r="B41" i="28"/>
  <c r="G41" i="28"/>
  <c r="H41" i="28"/>
  <c r="H38" i="27"/>
  <c r="H37" i="26"/>
  <c r="D35" i="31"/>
  <c r="E35" i="31"/>
  <c r="H35" i="29"/>
  <c r="I35" i="29" s="1"/>
  <c r="H42" i="3"/>
  <c r="I42" i="3" s="1"/>
  <c r="D43" i="3"/>
  <c r="E43" i="3"/>
  <c r="H41" i="18" l="1"/>
  <c r="I41" i="18" s="1"/>
  <c r="I36" i="25"/>
  <c r="I41" i="28"/>
  <c r="I34" i="34"/>
  <c r="I29" i="41"/>
  <c r="H39" i="21"/>
  <c r="I39" i="21" s="1"/>
  <c r="F39" i="24"/>
  <c r="H39" i="24" s="1"/>
  <c r="B39" i="24"/>
  <c r="F30" i="42"/>
  <c r="G30" i="42" s="1"/>
  <c r="B30" i="42"/>
  <c r="H42" i="4"/>
  <c r="D43" i="4"/>
  <c r="E43" i="4"/>
  <c r="F30" i="41"/>
  <c r="B30" i="41"/>
  <c r="F39" i="27"/>
  <c r="B39" i="27"/>
  <c r="F34" i="37"/>
  <c r="H34" i="37" s="1"/>
  <c r="B34" i="37"/>
  <c r="B43" i="3"/>
  <c r="F43" i="3"/>
  <c r="H43" i="3" s="1"/>
  <c r="F35" i="31"/>
  <c r="H35" i="31" s="1"/>
  <c r="B35" i="31"/>
  <c r="F32" i="39"/>
  <c r="G32" i="39" s="1"/>
  <c r="B32" i="39"/>
  <c r="H38" i="22"/>
  <c r="D39" i="22"/>
  <c r="E39" i="22"/>
  <c r="D43" i="28"/>
  <c r="E43" i="28" s="1"/>
  <c r="F43" i="28" s="1"/>
  <c r="B38" i="26"/>
  <c r="F38" i="26"/>
  <c r="H38" i="26" s="1"/>
  <c r="B35" i="35"/>
  <c r="F35" i="35"/>
  <c r="G35" i="35" s="1"/>
  <c r="I37" i="26"/>
  <c r="F38" i="23"/>
  <c r="G38" i="23" s="1"/>
  <c r="B38" i="23"/>
  <c r="B42" i="28"/>
  <c r="G42" i="28"/>
  <c r="H42" i="28"/>
  <c r="B34" i="38"/>
  <c r="F34" i="38"/>
  <c r="G34" i="38" s="1"/>
  <c r="I33" i="37"/>
  <c r="G42" i="4"/>
  <c r="F35" i="34"/>
  <c r="G35" i="34" s="1"/>
  <c r="B35" i="34"/>
  <c r="D42" i="18"/>
  <c r="E42" i="18"/>
  <c r="B37" i="25"/>
  <c r="F37" i="25"/>
  <c r="G37" i="25" s="1"/>
  <c r="D40" i="21"/>
  <c r="E40" i="21"/>
  <c r="I38" i="27"/>
  <c r="H41" i="19"/>
  <c r="I41" i="19" s="1"/>
  <c r="D42" i="19"/>
  <c r="E42" i="19"/>
  <c r="G38" i="22"/>
  <c r="I34" i="35"/>
  <c r="I29" i="40"/>
  <c r="F36" i="29"/>
  <c r="G36" i="29" s="1"/>
  <c r="B30" i="40"/>
  <c r="F30" i="40"/>
  <c r="H38" i="23" l="1"/>
  <c r="I42" i="28"/>
  <c r="H37" i="25"/>
  <c r="I37" i="25" s="1"/>
  <c r="G39" i="24"/>
  <c r="I39" i="24" s="1"/>
  <c r="I38" i="23"/>
  <c r="I38" i="22"/>
  <c r="D31" i="40"/>
  <c r="E31" i="40"/>
  <c r="F42" i="19"/>
  <c r="B42" i="19"/>
  <c r="B40" i="21"/>
  <c r="F40" i="21"/>
  <c r="D44" i="28"/>
  <c r="E44" i="28"/>
  <c r="F44" i="28" s="1"/>
  <c r="B43" i="28"/>
  <c r="H43" i="28"/>
  <c r="G43" i="28"/>
  <c r="D44" i="3"/>
  <c r="E44" i="3"/>
  <c r="G39" i="27"/>
  <c r="D40" i="27"/>
  <c r="E40" i="27"/>
  <c r="D31" i="41"/>
  <c r="E31" i="41"/>
  <c r="G30" i="40"/>
  <c r="B42" i="18"/>
  <c r="F42" i="18"/>
  <c r="G42" i="18" s="1"/>
  <c r="D36" i="34"/>
  <c r="E36" i="34"/>
  <c r="H34" i="38"/>
  <c r="I34" i="38" s="1"/>
  <c r="D35" i="38"/>
  <c r="E35" i="38"/>
  <c r="H35" i="35"/>
  <c r="I35" i="35" s="1"/>
  <c r="D36" i="35"/>
  <c r="E36" i="35"/>
  <c r="G38" i="26"/>
  <c r="I38" i="26" s="1"/>
  <c r="D39" i="26"/>
  <c r="E39" i="26"/>
  <c r="G35" i="31"/>
  <c r="I35" i="31" s="1"/>
  <c r="D36" i="31"/>
  <c r="E36" i="31"/>
  <c r="D35" i="37"/>
  <c r="E35" i="37"/>
  <c r="H30" i="41"/>
  <c r="H30" i="40"/>
  <c r="I30" i="40" s="1"/>
  <c r="H36" i="29"/>
  <c r="I36" i="29" s="1"/>
  <c r="D37" i="29"/>
  <c r="E37" i="29"/>
  <c r="D38" i="25"/>
  <c r="E38" i="25"/>
  <c r="H35" i="34"/>
  <c r="I35" i="34" s="1"/>
  <c r="I42" i="4"/>
  <c r="D39" i="23"/>
  <c r="E39" i="23"/>
  <c r="B39" i="22"/>
  <c r="F39" i="22"/>
  <c r="G39" i="22" s="1"/>
  <c r="H32" i="39"/>
  <c r="I32" i="39" s="1"/>
  <c r="D33" i="39"/>
  <c r="E33" i="39"/>
  <c r="G43" i="3"/>
  <c r="I43" i="3" s="1"/>
  <c r="G34" i="37"/>
  <c r="I34" i="37" s="1"/>
  <c r="H39" i="27"/>
  <c r="G30" i="41"/>
  <c r="B43" i="4"/>
  <c r="F43" i="4"/>
  <c r="H43" i="4" s="1"/>
  <c r="H30" i="42"/>
  <c r="I30" i="42" s="1"/>
  <c r="D31" i="42"/>
  <c r="E31" i="42"/>
  <c r="D40" i="24"/>
  <c r="E40" i="24"/>
  <c r="G43" i="4" l="1"/>
  <c r="I39" i="27"/>
  <c r="I43" i="4"/>
  <c r="B40" i="24"/>
  <c r="F40" i="24"/>
  <c r="H40" i="24"/>
  <c r="B39" i="23"/>
  <c r="F39" i="23"/>
  <c r="H39" i="23" s="1"/>
  <c r="B38" i="25"/>
  <c r="F38" i="25"/>
  <c r="G38" i="25" s="1"/>
  <c r="B39" i="26"/>
  <c r="F39" i="26"/>
  <c r="B40" i="27"/>
  <c r="F40" i="27"/>
  <c r="G40" i="21"/>
  <c r="D41" i="21"/>
  <c r="E41" i="21"/>
  <c r="B33" i="39"/>
  <c r="F33" i="39"/>
  <c r="H33" i="39" s="1"/>
  <c r="D40" i="22"/>
  <c r="E40" i="22"/>
  <c r="I30" i="41"/>
  <c r="F36" i="31"/>
  <c r="H36" i="31" s="1"/>
  <c r="B36" i="31"/>
  <c r="B36" i="34"/>
  <c r="F36" i="34"/>
  <c r="G36" i="34" s="1"/>
  <c r="H36" i="34"/>
  <c r="D45" i="28"/>
  <c r="D43" i="19"/>
  <c r="E43" i="19"/>
  <c r="F31" i="42"/>
  <c r="B31" i="42"/>
  <c r="D44" i="4"/>
  <c r="E44" i="4"/>
  <c r="F37" i="29"/>
  <c r="H37" i="29" s="1"/>
  <c r="F35" i="38"/>
  <c r="G35" i="38" s="1"/>
  <c r="B35" i="38"/>
  <c r="B31" i="41"/>
  <c r="F31" i="41"/>
  <c r="G31" i="41" s="1"/>
  <c r="B44" i="28"/>
  <c r="G44" i="28"/>
  <c r="H44" i="28"/>
  <c r="H42" i="19"/>
  <c r="H39" i="22"/>
  <c r="I39" i="22" s="1"/>
  <c r="B35" i="37"/>
  <c r="F35" i="37"/>
  <c r="H35" i="37" s="1"/>
  <c r="F36" i="35"/>
  <c r="B36" i="35"/>
  <c r="H42" i="18"/>
  <c r="I42" i="18" s="1"/>
  <c r="D43" i="18"/>
  <c r="E43" i="18"/>
  <c r="B44" i="3"/>
  <c r="F44" i="3"/>
  <c r="G44" i="3" s="1"/>
  <c r="I43" i="28"/>
  <c r="H40" i="21"/>
  <c r="G42" i="19"/>
  <c r="B31" i="40"/>
  <c r="F31" i="40"/>
  <c r="G31" i="40" s="1"/>
  <c r="G37" i="29" l="1"/>
  <c r="G39" i="23"/>
  <c r="I36" i="34"/>
  <c r="I39" i="23"/>
  <c r="I44" i="28"/>
  <c r="F43" i="18"/>
  <c r="G43" i="18" s="1"/>
  <c r="B43" i="18"/>
  <c r="H36" i="35"/>
  <c r="D37" i="35"/>
  <c r="E37" i="35"/>
  <c r="B44" i="4"/>
  <c r="F44" i="4"/>
  <c r="H44" i="4" s="1"/>
  <c r="D32" i="42"/>
  <c r="E32" i="42"/>
  <c r="B45" i="28"/>
  <c r="F41" i="21"/>
  <c r="G41" i="21" s="1"/>
  <c r="B41" i="21"/>
  <c r="D41" i="27"/>
  <c r="E41" i="27"/>
  <c r="D40" i="26"/>
  <c r="E40" i="26"/>
  <c r="H44" i="3"/>
  <c r="I44" i="3" s="1"/>
  <c r="D45" i="3"/>
  <c r="E45" i="3"/>
  <c r="I42" i="19"/>
  <c r="I37" i="29"/>
  <c r="H31" i="42"/>
  <c r="D34" i="39"/>
  <c r="E34" i="39"/>
  <c r="I40" i="21"/>
  <c r="G36" i="35"/>
  <c r="G35" i="37"/>
  <c r="I35" i="37" s="1"/>
  <c r="D36" i="37"/>
  <c r="E36" i="37"/>
  <c r="H31" i="41"/>
  <c r="I31" i="41" s="1"/>
  <c r="D32" i="41"/>
  <c r="E32" i="41"/>
  <c r="D38" i="29"/>
  <c r="E38" i="29"/>
  <c r="G31" i="42"/>
  <c r="F43" i="19"/>
  <c r="H43" i="19" s="1"/>
  <c r="B43" i="19"/>
  <c r="F40" i="22"/>
  <c r="G40" i="22" s="1"/>
  <c r="B40" i="22"/>
  <c r="H40" i="27"/>
  <c r="H39" i="26"/>
  <c r="G40" i="24"/>
  <c r="I40" i="24" s="1"/>
  <c r="D41" i="24"/>
  <c r="E41" i="24"/>
  <c r="H31" i="40"/>
  <c r="I31" i="40" s="1"/>
  <c r="D32" i="40"/>
  <c r="E32" i="40"/>
  <c r="H35" i="38"/>
  <c r="I35" i="38" s="1"/>
  <c r="D36" i="38"/>
  <c r="E36" i="38"/>
  <c r="E45" i="28"/>
  <c r="F45" i="28" s="1"/>
  <c r="D37" i="34"/>
  <c r="E37" i="34"/>
  <c r="G36" i="31"/>
  <c r="I36" i="31" s="1"/>
  <c r="D37" i="31"/>
  <c r="E37" i="31"/>
  <c r="G33" i="39"/>
  <c r="I33" i="39" s="1"/>
  <c r="G40" i="27"/>
  <c r="G39" i="26"/>
  <c r="H38" i="25"/>
  <c r="I38" i="25" s="1"/>
  <c r="D39" i="25"/>
  <c r="E39" i="25"/>
  <c r="D40" i="23"/>
  <c r="E40" i="23"/>
  <c r="I36" i="35" l="1"/>
  <c r="I39" i="26"/>
  <c r="F40" i="23"/>
  <c r="H40" i="23" s="1"/>
  <c r="B40" i="23"/>
  <c r="F37" i="31"/>
  <c r="B37" i="31"/>
  <c r="D46" i="28"/>
  <c r="F41" i="24"/>
  <c r="B41" i="24"/>
  <c r="G45" i="28"/>
  <c r="F32" i="42"/>
  <c r="G32" i="42" s="1"/>
  <c r="B32" i="42"/>
  <c r="I40" i="27"/>
  <c r="B32" i="40"/>
  <c r="F32" i="40"/>
  <c r="H32" i="40" s="1"/>
  <c r="F38" i="29"/>
  <c r="G38" i="29" s="1"/>
  <c r="B34" i="39"/>
  <c r="F34" i="39"/>
  <c r="H34" i="39"/>
  <c r="B40" i="26"/>
  <c r="F40" i="26"/>
  <c r="H40" i="26" s="1"/>
  <c r="H45" i="28"/>
  <c r="F37" i="35"/>
  <c r="H37" i="35" s="1"/>
  <c r="B37" i="35"/>
  <c r="B39" i="25"/>
  <c r="F39" i="25"/>
  <c r="G39" i="25" s="1"/>
  <c r="F36" i="38"/>
  <c r="G36" i="38" s="1"/>
  <c r="B36" i="38"/>
  <c r="G43" i="19"/>
  <c r="I43" i="19" s="1"/>
  <c r="D44" i="19"/>
  <c r="E44" i="19"/>
  <c r="F36" i="37"/>
  <c r="B36" i="37"/>
  <c r="F45" i="3"/>
  <c r="B45" i="3"/>
  <c r="H41" i="21"/>
  <c r="I41" i="21" s="1"/>
  <c r="D42" i="21"/>
  <c r="E42" i="21"/>
  <c r="G44" i="4"/>
  <c r="I44" i="4" s="1"/>
  <c r="D45" i="4"/>
  <c r="E45" i="4"/>
  <c r="D44" i="18"/>
  <c r="E44" i="18"/>
  <c r="B37" i="34"/>
  <c r="F37" i="34"/>
  <c r="H40" i="22"/>
  <c r="I40" i="22" s="1"/>
  <c r="D41" i="22"/>
  <c r="E41" i="22"/>
  <c r="B32" i="41"/>
  <c r="F32" i="41"/>
  <c r="H32" i="41" s="1"/>
  <c r="I31" i="42"/>
  <c r="F41" i="27"/>
  <c r="G41" i="27" s="1"/>
  <c r="B41" i="27"/>
  <c r="H43" i="18"/>
  <c r="I43" i="18" s="1"/>
  <c r="H36" i="38" l="1"/>
  <c r="I36" i="38" s="1"/>
  <c r="G32" i="41"/>
  <c r="I32" i="41"/>
  <c r="G40" i="26"/>
  <c r="I40" i="26" s="1"/>
  <c r="H37" i="34"/>
  <c r="D38" i="34"/>
  <c r="E38" i="34"/>
  <c r="B42" i="21"/>
  <c r="F42" i="21"/>
  <c r="G42" i="21"/>
  <c r="G45" i="3"/>
  <c r="D46" i="3"/>
  <c r="E46" i="3"/>
  <c r="D37" i="37"/>
  <c r="E37" i="37"/>
  <c r="I45" i="28"/>
  <c r="B46" i="28"/>
  <c r="D38" i="31"/>
  <c r="E38" i="31"/>
  <c r="B41" i="22"/>
  <c r="F41" i="22"/>
  <c r="F45" i="4"/>
  <c r="B45" i="4"/>
  <c r="G36" i="37"/>
  <c r="H39" i="25"/>
  <c r="I39" i="25" s="1"/>
  <c r="D40" i="25"/>
  <c r="E40" i="25"/>
  <c r="H38" i="29"/>
  <c r="I38" i="29" s="1"/>
  <c r="D39" i="29"/>
  <c r="E39" i="29"/>
  <c r="D33" i="40"/>
  <c r="E33" i="40"/>
  <c r="D42" i="24"/>
  <c r="E42" i="24"/>
  <c r="H37" i="31"/>
  <c r="H41" i="27"/>
  <c r="I41" i="27" s="1"/>
  <c r="D42" i="27"/>
  <c r="E42" i="27"/>
  <c r="D33" i="41"/>
  <c r="E33" i="41"/>
  <c r="H45" i="3"/>
  <c r="H36" i="37"/>
  <c r="B44" i="19"/>
  <c r="F44" i="19"/>
  <c r="G44" i="19" s="1"/>
  <c r="D38" i="35"/>
  <c r="E38" i="35"/>
  <c r="G34" i="39"/>
  <c r="I34" i="39" s="1"/>
  <c r="D35" i="39"/>
  <c r="E35" i="39"/>
  <c r="D33" i="42"/>
  <c r="E33" i="42"/>
  <c r="G41" i="24"/>
  <c r="G37" i="31"/>
  <c r="G37" i="34"/>
  <c r="B44" i="18"/>
  <c r="F44" i="18"/>
  <c r="H44" i="18" s="1"/>
  <c r="D37" i="38"/>
  <c r="E37" i="38"/>
  <c r="G37" i="35"/>
  <c r="I37" i="35" s="1"/>
  <c r="D41" i="26"/>
  <c r="E41" i="26"/>
  <c r="G32" i="40"/>
  <c r="I32" i="40" s="1"/>
  <c r="H32" i="42"/>
  <c r="I32" i="42" s="1"/>
  <c r="H41" i="24"/>
  <c r="E46" i="28"/>
  <c r="F46" i="28" s="1"/>
  <c r="H46" i="28" s="1"/>
  <c r="G40" i="23"/>
  <c r="I40" i="23" s="1"/>
  <c r="D41" i="23"/>
  <c r="E41" i="23"/>
  <c r="H44" i="19" l="1"/>
  <c r="I45" i="3"/>
  <c r="G46" i="28"/>
  <c r="I46" i="28" s="1"/>
  <c r="I41" i="24"/>
  <c r="F41" i="26"/>
  <c r="H41" i="26" s="1"/>
  <c r="B41" i="26"/>
  <c r="F42" i="24"/>
  <c r="G42" i="24" s="1"/>
  <c r="B42" i="24"/>
  <c r="F39" i="29"/>
  <c r="H39" i="29" s="1"/>
  <c r="F40" i="25"/>
  <c r="B40" i="25"/>
  <c r="D42" i="22"/>
  <c r="E42" i="22"/>
  <c r="B37" i="37"/>
  <c r="F37" i="37"/>
  <c r="G37" i="37" s="1"/>
  <c r="B41" i="23"/>
  <c r="F41" i="23"/>
  <c r="H41" i="23" s="1"/>
  <c r="G44" i="18"/>
  <c r="I44" i="18" s="1"/>
  <c r="D45" i="18"/>
  <c r="E45" i="18"/>
  <c r="B35" i="39"/>
  <c r="F35" i="39"/>
  <c r="F38" i="35"/>
  <c r="B38" i="35"/>
  <c r="B33" i="41"/>
  <c r="F33" i="41"/>
  <c r="H45" i="4"/>
  <c r="D46" i="4"/>
  <c r="E46" i="4"/>
  <c r="D43" i="21"/>
  <c r="E43" i="21"/>
  <c r="F38" i="34"/>
  <c r="B38" i="34"/>
  <c r="I44" i="19"/>
  <c r="I37" i="31"/>
  <c r="B33" i="40"/>
  <c r="F33" i="40"/>
  <c r="H33" i="40" s="1"/>
  <c r="I36" i="37"/>
  <c r="G41" i="22"/>
  <c r="F46" i="3"/>
  <c r="G46" i="3" s="1"/>
  <c r="B46" i="3"/>
  <c r="D47" i="28"/>
  <c r="E47" i="28" s="1"/>
  <c r="F47" i="28" s="1"/>
  <c r="B37" i="38"/>
  <c r="F37" i="38"/>
  <c r="I37" i="34"/>
  <c r="F33" i="42"/>
  <c r="B33" i="42"/>
  <c r="D45" i="19"/>
  <c r="E45" i="19"/>
  <c r="B42" i="27"/>
  <c r="F42" i="27"/>
  <c r="G42" i="27" s="1"/>
  <c r="G45" i="4"/>
  <c r="H41" i="22"/>
  <c r="F38" i="31"/>
  <c r="G38" i="31" s="1"/>
  <c r="B38" i="31"/>
  <c r="H42" i="21"/>
  <c r="I42" i="21" s="1"/>
  <c r="I45" i="4" l="1"/>
  <c r="G33" i="40"/>
  <c r="H33" i="42"/>
  <c r="D34" i="42"/>
  <c r="E34" i="42"/>
  <c r="G33" i="41"/>
  <c r="D34" i="41"/>
  <c r="E34" i="41"/>
  <c r="D39" i="35"/>
  <c r="E39" i="35"/>
  <c r="D36" i="39"/>
  <c r="E36" i="39"/>
  <c r="F45" i="19"/>
  <c r="H45" i="19" s="1"/>
  <c r="B45" i="19"/>
  <c r="H47" i="28"/>
  <c r="D48" i="28"/>
  <c r="E48" i="28" s="1"/>
  <c r="F48" i="28" s="1"/>
  <c r="G38" i="34"/>
  <c r="D39" i="34"/>
  <c r="E39" i="34"/>
  <c r="B46" i="4"/>
  <c r="F46" i="4"/>
  <c r="H46" i="4"/>
  <c r="H38" i="35"/>
  <c r="B42" i="22"/>
  <c r="F42" i="22"/>
  <c r="G42" i="22" s="1"/>
  <c r="D41" i="25"/>
  <c r="E41" i="25"/>
  <c r="H38" i="31"/>
  <c r="I38" i="31" s="1"/>
  <c r="D39" i="31"/>
  <c r="E39" i="31"/>
  <c r="H42" i="27"/>
  <c r="I42" i="27" s="1"/>
  <c r="D43" i="27"/>
  <c r="E43" i="27"/>
  <c r="G33" i="42"/>
  <c r="H37" i="38"/>
  <c r="D38" i="38"/>
  <c r="E38" i="38"/>
  <c r="B47" i="28"/>
  <c r="G47" i="28"/>
  <c r="I47" i="28" s="1"/>
  <c r="D47" i="3"/>
  <c r="E47" i="3"/>
  <c r="I33" i="40"/>
  <c r="G38" i="35"/>
  <c r="I38" i="35" s="1"/>
  <c r="G35" i="39"/>
  <c r="G41" i="23"/>
  <c r="I41" i="23" s="1"/>
  <c r="D42" i="23"/>
  <c r="E42" i="23"/>
  <c r="H37" i="37"/>
  <c r="I37" i="37" s="1"/>
  <c r="D38" i="37"/>
  <c r="E38" i="37"/>
  <c r="G40" i="25"/>
  <c r="H42" i="24"/>
  <c r="I42" i="24" s="1"/>
  <c r="D43" i="24"/>
  <c r="E43" i="24"/>
  <c r="D42" i="26"/>
  <c r="E42" i="26"/>
  <c r="G37" i="38"/>
  <c r="H46" i="3"/>
  <c r="I46" i="3" s="1"/>
  <c r="I41" i="22"/>
  <c r="D34" i="40"/>
  <c r="E34" i="40"/>
  <c r="H38" i="34"/>
  <c r="F43" i="21"/>
  <c r="H43" i="21" s="1"/>
  <c r="B43" i="21"/>
  <c r="H33" i="41"/>
  <c r="H35" i="39"/>
  <c r="B45" i="18"/>
  <c r="F45" i="18"/>
  <c r="G45" i="18" s="1"/>
  <c r="H40" i="25"/>
  <c r="G39" i="29"/>
  <c r="I39" i="29" s="1"/>
  <c r="D40" i="29"/>
  <c r="E40" i="29"/>
  <c r="G41" i="26"/>
  <c r="I41" i="26" s="1"/>
  <c r="I33" i="42" l="1"/>
  <c r="I35" i="39"/>
  <c r="I33" i="41"/>
  <c r="I38" i="34"/>
  <c r="I37" i="38"/>
  <c r="F39" i="34"/>
  <c r="B39" i="34"/>
  <c r="B39" i="35"/>
  <c r="F39" i="35"/>
  <c r="F40" i="29"/>
  <c r="G40" i="29"/>
  <c r="H40" i="29"/>
  <c r="H45" i="18"/>
  <c r="I45" i="18" s="1"/>
  <c r="D46" i="18"/>
  <c r="E46" i="18"/>
  <c r="F43" i="24"/>
  <c r="H43" i="24" s="1"/>
  <c r="B43" i="24"/>
  <c r="F42" i="23"/>
  <c r="B42" i="23"/>
  <c r="B41" i="25"/>
  <c r="F41" i="25"/>
  <c r="G41" i="25" s="1"/>
  <c r="G46" i="4"/>
  <c r="I46" i="4" s="1"/>
  <c r="D47" i="4"/>
  <c r="E47" i="4"/>
  <c r="F34" i="42"/>
  <c r="G34" i="42" s="1"/>
  <c r="B34" i="42"/>
  <c r="B34" i="40"/>
  <c r="F34" i="40"/>
  <c r="H34" i="40" s="1"/>
  <c r="B38" i="37"/>
  <c r="F38" i="37"/>
  <c r="F39" i="31"/>
  <c r="G39" i="31" s="1"/>
  <c r="B39" i="31"/>
  <c r="D49" i="28"/>
  <c r="E49" i="28" s="1"/>
  <c r="F49" i="28" s="1"/>
  <c r="F36" i="39"/>
  <c r="G36" i="39" s="1"/>
  <c r="B36" i="39"/>
  <c r="F34" i="41"/>
  <c r="H34" i="41" s="1"/>
  <c r="B34" i="41"/>
  <c r="I40" i="25"/>
  <c r="G43" i="21"/>
  <c r="I43" i="21" s="1"/>
  <c r="D44" i="21"/>
  <c r="E44" i="21"/>
  <c r="F42" i="26"/>
  <c r="B42" i="26"/>
  <c r="F47" i="3"/>
  <c r="G47" i="3" s="1"/>
  <c r="B47" i="3"/>
  <c r="B38" i="38"/>
  <c r="F38" i="38"/>
  <c r="G38" i="38" s="1"/>
  <c r="F43" i="27"/>
  <c r="B43" i="27"/>
  <c r="H42" i="22"/>
  <c r="I42" i="22" s="1"/>
  <c r="D43" i="22"/>
  <c r="E43" i="22"/>
  <c r="B48" i="28"/>
  <c r="G48" i="28"/>
  <c r="H48" i="28"/>
  <c r="G45" i="19"/>
  <c r="I45" i="19" s="1"/>
  <c r="D46" i="19"/>
  <c r="E46" i="19"/>
  <c r="I40" i="29" l="1"/>
  <c r="D44" i="27"/>
  <c r="E44" i="27"/>
  <c r="H38" i="37"/>
  <c r="D39" i="37"/>
  <c r="E39" i="37"/>
  <c r="G39" i="35"/>
  <c r="D40" i="35"/>
  <c r="E40" i="35"/>
  <c r="F46" i="19"/>
  <c r="G46" i="19" s="1"/>
  <c r="B46" i="19"/>
  <c r="G43" i="27"/>
  <c r="D50" i="28"/>
  <c r="E50" i="28" s="1"/>
  <c r="F50" i="28" s="1"/>
  <c r="H41" i="25"/>
  <c r="I41" i="25" s="1"/>
  <c r="D42" i="25"/>
  <c r="E42" i="25"/>
  <c r="G42" i="23"/>
  <c r="D43" i="23"/>
  <c r="E43" i="23"/>
  <c r="G39" i="34"/>
  <c r="D40" i="34"/>
  <c r="E40" i="34"/>
  <c r="H47" i="3"/>
  <c r="I47" i="3" s="1"/>
  <c r="D48" i="3"/>
  <c r="E48" i="3"/>
  <c r="H39" i="31"/>
  <c r="I39" i="31" s="1"/>
  <c r="D40" i="31"/>
  <c r="E40" i="31"/>
  <c r="F47" i="4"/>
  <c r="B47" i="4"/>
  <c r="H39" i="35"/>
  <c r="I39" i="35" s="1"/>
  <c r="H36" i="39"/>
  <c r="I36" i="39" s="1"/>
  <c r="D37" i="39"/>
  <c r="E37" i="39"/>
  <c r="G43" i="24"/>
  <c r="I43" i="24" s="1"/>
  <c r="D44" i="24"/>
  <c r="E44" i="24"/>
  <c r="G42" i="26"/>
  <c r="D43" i="26"/>
  <c r="E43" i="26"/>
  <c r="D35" i="41"/>
  <c r="E35" i="41"/>
  <c r="H38" i="38"/>
  <c r="I38" i="38" s="1"/>
  <c r="D39" i="38"/>
  <c r="E39" i="38"/>
  <c r="B49" i="28"/>
  <c r="H49" i="28"/>
  <c r="G49" i="28"/>
  <c r="I48" i="28"/>
  <c r="F43" i="22"/>
  <c r="H43" i="22" s="1"/>
  <c r="B43" i="22"/>
  <c r="H43" i="27"/>
  <c r="H42" i="26"/>
  <c r="F44" i="21"/>
  <c r="B44" i="21"/>
  <c r="G34" i="41"/>
  <c r="I34" i="41" s="1"/>
  <c r="G38" i="37"/>
  <c r="G34" i="40"/>
  <c r="I34" i="40" s="1"/>
  <c r="D35" i="40"/>
  <c r="E35" i="40"/>
  <c r="H34" i="42"/>
  <c r="I34" i="42" s="1"/>
  <c r="D35" i="42"/>
  <c r="E35" i="42"/>
  <c r="H42" i="23"/>
  <c r="F46" i="18"/>
  <c r="H46" i="18" s="1"/>
  <c r="B46" i="18"/>
  <c r="D41" i="29"/>
  <c r="E41" i="29"/>
  <c r="H39" i="34"/>
  <c r="I42" i="23" l="1"/>
  <c r="I39" i="34"/>
  <c r="I38" i="37"/>
  <c r="G43" i="22"/>
  <c r="I43" i="22" s="1"/>
  <c r="I49" i="28"/>
  <c r="F41" i="29"/>
  <c r="H41" i="29" s="1"/>
  <c r="B35" i="41"/>
  <c r="F35" i="41"/>
  <c r="G35" i="41" s="1"/>
  <c r="H47" i="4"/>
  <c r="D48" i="4"/>
  <c r="E48" i="4"/>
  <c r="B40" i="34"/>
  <c r="F40" i="34"/>
  <c r="G40" i="34" s="1"/>
  <c r="H46" i="19"/>
  <c r="I46" i="19" s="1"/>
  <c r="B39" i="37"/>
  <c r="F39" i="37"/>
  <c r="H39" i="37" s="1"/>
  <c r="B44" i="27"/>
  <c r="F44" i="27"/>
  <c r="H44" i="27" s="1"/>
  <c r="F43" i="23"/>
  <c r="B43" i="23"/>
  <c r="D45" i="21"/>
  <c r="E45" i="21"/>
  <c r="F35" i="40"/>
  <c r="H35" i="40" s="1"/>
  <c r="B35" i="40"/>
  <c r="G44" i="21"/>
  <c r="I42" i="26"/>
  <c r="B39" i="38"/>
  <c r="F39" i="38"/>
  <c r="H39" i="38" s="1"/>
  <c r="B48" i="3"/>
  <c r="F48" i="3"/>
  <c r="D51" i="28"/>
  <c r="E51" i="28" s="1"/>
  <c r="F51" i="28" s="1"/>
  <c r="F40" i="35"/>
  <c r="B40" i="35"/>
  <c r="G46" i="18"/>
  <c r="I46" i="18" s="1"/>
  <c r="D47" i="18"/>
  <c r="E47" i="18"/>
  <c r="D47" i="19"/>
  <c r="E47" i="19"/>
  <c r="F35" i="42"/>
  <c r="H35" i="42" s="1"/>
  <c r="B35" i="42"/>
  <c r="H44" i="21"/>
  <c r="I43" i="27"/>
  <c r="D44" i="22"/>
  <c r="E44" i="22"/>
  <c r="F43" i="26"/>
  <c r="B43" i="26"/>
  <c r="G43" i="26"/>
  <c r="F44" i="24"/>
  <c r="B44" i="24"/>
  <c r="B37" i="39"/>
  <c r="F37" i="39"/>
  <c r="G37" i="39" s="1"/>
  <c r="G47" i="4"/>
  <c r="F40" i="31"/>
  <c r="B40" i="31"/>
  <c r="H42" i="25"/>
  <c r="B42" i="25"/>
  <c r="F42" i="25"/>
  <c r="G42" i="25" s="1"/>
  <c r="B50" i="28"/>
  <c r="H50" i="28"/>
  <c r="G50" i="28"/>
  <c r="G35" i="42" l="1"/>
  <c r="G39" i="37"/>
  <c r="I35" i="42"/>
  <c r="G35" i="40"/>
  <c r="I35" i="40" s="1"/>
  <c r="G41" i="29"/>
  <c r="I41" i="29" s="1"/>
  <c r="I47" i="4"/>
  <c r="I39" i="37"/>
  <c r="H44" i="24"/>
  <c r="D45" i="24"/>
  <c r="E45" i="24"/>
  <c r="B44" i="22"/>
  <c r="F44" i="22"/>
  <c r="G44" i="22" s="1"/>
  <c r="F45" i="21"/>
  <c r="H45" i="21" s="1"/>
  <c r="B45" i="21"/>
  <c r="G45" i="21"/>
  <c r="D44" i="23"/>
  <c r="E44" i="23"/>
  <c r="H35" i="41"/>
  <c r="I35" i="41" s="1"/>
  <c r="D36" i="41"/>
  <c r="E36" i="41"/>
  <c r="D41" i="31"/>
  <c r="E41" i="31"/>
  <c r="D41" i="35"/>
  <c r="E41" i="35"/>
  <c r="G48" i="3"/>
  <c r="D49" i="3"/>
  <c r="E49" i="3"/>
  <c r="I42" i="25"/>
  <c r="H40" i="31"/>
  <c r="F47" i="19"/>
  <c r="B47" i="19"/>
  <c r="H40" i="35"/>
  <c r="D43" i="25"/>
  <c r="E43" i="25"/>
  <c r="G44" i="24"/>
  <c r="G40" i="35"/>
  <c r="B51" i="28"/>
  <c r="H51" i="28"/>
  <c r="G43" i="23"/>
  <c r="F48" i="4"/>
  <c r="B48" i="4"/>
  <c r="D42" i="29"/>
  <c r="E42" i="29"/>
  <c r="D38" i="39"/>
  <c r="E38" i="39"/>
  <c r="D40" i="38"/>
  <c r="E40" i="38"/>
  <c r="G51" i="28"/>
  <c r="D52" i="28"/>
  <c r="E52" i="28" s="1"/>
  <c r="F52" i="28" s="1"/>
  <c r="I50" i="28"/>
  <c r="G40" i="31"/>
  <c r="H37" i="39"/>
  <c r="I37" i="39" s="1"/>
  <c r="H43" i="26"/>
  <c r="I43" i="26" s="1"/>
  <c r="D44" i="26"/>
  <c r="E44" i="26"/>
  <c r="D36" i="42"/>
  <c r="E36" i="42"/>
  <c r="F47" i="18"/>
  <c r="G47" i="18" s="1"/>
  <c r="B47" i="18"/>
  <c r="H48" i="3"/>
  <c r="G39" i="38"/>
  <c r="I39" i="38" s="1"/>
  <c r="I44" i="21"/>
  <c r="D36" i="40"/>
  <c r="E36" i="40"/>
  <c r="H43" i="23"/>
  <c r="G44" i="27"/>
  <c r="I44" i="27" s="1"/>
  <c r="D45" i="27"/>
  <c r="E45" i="27"/>
  <c r="D40" i="37"/>
  <c r="E40" i="37"/>
  <c r="H40" i="34"/>
  <c r="I40" i="34" s="1"/>
  <c r="D41" i="34"/>
  <c r="E41" i="34"/>
  <c r="I48" i="3" l="1"/>
  <c r="I45" i="21"/>
  <c r="I44" i="24"/>
  <c r="I40" i="31"/>
  <c r="B41" i="34"/>
  <c r="F41" i="34"/>
  <c r="H41" i="34"/>
  <c r="D53" i="28"/>
  <c r="H48" i="4"/>
  <c r="D49" i="4"/>
  <c r="E49" i="4"/>
  <c r="B43" i="25"/>
  <c r="F43" i="25"/>
  <c r="G43" i="25" s="1"/>
  <c r="G47" i="19"/>
  <c r="D48" i="19"/>
  <c r="E48" i="19"/>
  <c r="B41" i="35"/>
  <c r="F41" i="35"/>
  <c r="H41" i="35"/>
  <c r="F36" i="41"/>
  <c r="B36" i="41"/>
  <c r="B45" i="27"/>
  <c r="F45" i="27"/>
  <c r="G45" i="27" s="1"/>
  <c r="B36" i="40"/>
  <c r="F36" i="40"/>
  <c r="G36" i="40"/>
  <c r="F36" i="42"/>
  <c r="H36" i="42" s="1"/>
  <c r="B36" i="42"/>
  <c r="B52" i="28"/>
  <c r="G52" i="28"/>
  <c r="H52" i="28"/>
  <c r="F40" i="38"/>
  <c r="B40" i="38"/>
  <c r="F42" i="29"/>
  <c r="G42" i="29" s="1"/>
  <c r="I40" i="35"/>
  <c r="F49" i="3"/>
  <c r="G49" i="3" s="1"/>
  <c r="B49" i="3"/>
  <c r="F45" i="24"/>
  <c r="B45" i="24"/>
  <c r="G48" i="4"/>
  <c r="I43" i="23"/>
  <c r="H47" i="19"/>
  <c r="I47" i="19" s="1"/>
  <c r="B41" i="31"/>
  <c r="F41" i="31"/>
  <c r="H41" i="31" s="1"/>
  <c r="H44" i="22"/>
  <c r="I44" i="22" s="1"/>
  <c r="D45" i="22"/>
  <c r="E45" i="22"/>
  <c r="B40" i="37"/>
  <c r="F40" i="37"/>
  <c r="H47" i="18"/>
  <c r="I47" i="18" s="1"/>
  <c r="D48" i="18"/>
  <c r="E48" i="18"/>
  <c r="F44" i="26"/>
  <c r="G44" i="26" s="1"/>
  <c r="B44" i="26"/>
  <c r="F38" i="39"/>
  <c r="G38" i="39" s="1"/>
  <c r="B38" i="39"/>
  <c r="I51" i="28"/>
  <c r="F44" i="23"/>
  <c r="H44" i="23" s="1"/>
  <c r="B44" i="23"/>
  <c r="D46" i="21"/>
  <c r="E46" i="21"/>
  <c r="I48" i="4" l="1"/>
  <c r="H43" i="25"/>
  <c r="I52" i="28"/>
  <c r="I43" i="25"/>
  <c r="G36" i="42"/>
  <c r="I36" i="42" s="1"/>
  <c r="F46" i="21"/>
  <c r="G46" i="21" s="1"/>
  <c r="B46" i="21"/>
  <c r="H46" i="21"/>
  <c r="F48" i="18"/>
  <c r="B48" i="18"/>
  <c r="G48" i="18"/>
  <c r="D41" i="37"/>
  <c r="E41" i="37"/>
  <c r="G40" i="38"/>
  <c r="D41" i="38"/>
  <c r="E41" i="38"/>
  <c r="B53" i="28"/>
  <c r="H45" i="24"/>
  <c r="D46" i="24"/>
  <c r="E46" i="24"/>
  <c r="H42" i="29"/>
  <c r="I42" i="29" s="1"/>
  <c r="D43" i="29"/>
  <c r="E43" i="29"/>
  <c r="H45" i="27"/>
  <c r="I45" i="27" s="1"/>
  <c r="D46" i="27"/>
  <c r="E46" i="27"/>
  <c r="G36" i="41"/>
  <c r="D37" i="41"/>
  <c r="E37" i="41"/>
  <c r="F49" i="4"/>
  <c r="G49" i="4" s="1"/>
  <c r="B49" i="4"/>
  <c r="H44" i="26"/>
  <c r="I44" i="26" s="1"/>
  <c r="D45" i="26"/>
  <c r="E45" i="26"/>
  <c r="G40" i="37"/>
  <c r="G41" i="31"/>
  <c r="I41" i="31" s="1"/>
  <c r="D42" i="31"/>
  <c r="E42" i="31"/>
  <c r="D50" i="3"/>
  <c r="E50" i="3"/>
  <c r="F50" i="3" s="1"/>
  <c r="H40" i="38"/>
  <c r="H36" i="40"/>
  <c r="I36" i="40" s="1"/>
  <c r="D37" i="40"/>
  <c r="E37" i="40"/>
  <c r="F48" i="19"/>
  <c r="G48" i="19" s="1"/>
  <c r="B48" i="19"/>
  <c r="D44" i="25"/>
  <c r="E44" i="25"/>
  <c r="G41" i="34"/>
  <c r="I41" i="34" s="1"/>
  <c r="D42" i="34"/>
  <c r="E42" i="34"/>
  <c r="G44" i="23"/>
  <c r="I44" i="23" s="1"/>
  <c r="D45" i="23"/>
  <c r="E45" i="23"/>
  <c r="H38" i="39"/>
  <c r="I38" i="39" s="1"/>
  <c r="D39" i="39"/>
  <c r="E39" i="39"/>
  <c r="H40" i="37"/>
  <c r="F45" i="22"/>
  <c r="B45" i="22"/>
  <c r="G45" i="24"/>
  <c r="H49" i="3"/>
  <c r="I49" i="3" s="1"/>
  <c r="D37" i="42"/>
  <c r="E37" i="42"/>
  <c r="H36" i="41"/>
  <c r="G41" i="35"/>
  <c r="I41" i="35" s="1"/>
  <c r="D42" i="35"/>
  <c r="E42" i="35"/>
  <c r="E53" i="28"/>
  <c r="F53" i="28" s="1"/>
  <c r="H53" i="28" s="1"/>
  <c r="I36" i="41" l="1"/>
  <c r="I40" i="38"/>
  <c r="I45" i="24"/>
  <c r="I46" i="21"/>
  <c r="G45" i="22"/>
  <c r="D46" i="22"/>
  <c r="E46" i="22"/>
  <c r="B45" i="26"/>
  <c r="F45" i="26"/>
  <c r="H45" i="26"/>
  <c r="D54" i="28"/>
  <c r="B42" i="34"/>
  <c r="F42" i="34"/>
  <c r="H42" i="34"/>
  <c r="D51" i="3"/>
  <c r="E51" i="3"/>
  <c r="B44" i="25"/>
  <c r="F44" i="25"/>
  <c r="F42" i="31"/>
  <c r="B42" i="31"/>
  <c r="F37" i="41"/>
  <c r="H37" i="41" s="1"/>
  <c r="B37" i="41"/>
  <c r="H45" i="22"/>
  <c r="F45" i="23"/>
  <c r="B45" i="23"/>
  <c r="B37" i="40"/>
  <c r="F37" i="40"/>
  <c r="G37" i="40" s="1"/>
  <c r="B50" i="3"/>
  <c r="G50" i="3"/>
  <c r="H50" i="3"/>
  <c r="I40" i="37"/>
  <c r="D50" i="4"/>
  <c r="E50" i="4"/>
  <c r="B46" i="24"/>
  <c r="F46" i="24"/>
  <c r="H46" i="24"/>
  <c r="H48" i="18"/>
  <c r="I48" i="18" s="1"/>
  <c r="D49" i="18"/>
  <c r="E49" i="18"/>
  <c r="B42" i="35"/>
  <c r="F42" i="35"/>
  <c r="G42" i="35" s="1"/>
  <c r="F37" i="42"/>
  <c r="B37" i="42"/>
  <c r="G37" i="42"/>
  <c r="B39" i="39"/>
  <c r="F39" i="39"/>
  <c r="H39" i="39" s="1"/>
  <c r="H48" i="19"/>
  <c r="I48" i="19" s="1"/>
  <c r="D49" i="19"/>
  <c r="E49" i="19"/>
  <c r="H49" i="4"/>
  <c r="I49" i="4" s="1"/>
  <c r="B46" i="27"/>
  <c r="F46" i="27"/>
  <c r="G46" i="27" s="1"/>
  <c r="F43" i="29"/>
  <c r="H43" i="29" s="1"/>
  <c r="G53" i="28"/>
  <c r="I53" i="28" s="1"/>
  <c r="B41" i="38"/>
  <c r="F41" i="38"/>
  <c r="H41" i="38" s="1"/>
  <c r="F41" i="37"/>
  <c r="G41" i="37" s="1"/>
  <c r="B41" i="37"/>
  <c r="D47" i="21"/>
  <c r="E47" i="21"/>
  <c r="G39" i="39" l="1"/>
  <c r="I45" i="22"/>
  <c r="I39" i="39"/>
  <c r="I50" i="3"/>
  <c r="B54" i="28"/>
  <c r="G41" i="38"/>
  <c r="D42" i="38"/>
  <c r="E42" i="38"/>
  <c r="G43" i="29"/>
  <c r="I43" i="29" s="1"/>
  <c r="D44" i="29"/>
  <c r="E44" i="29"/>
  <c r="H42" i="35"/>
  <c r="I42" i="35" s="1"/>
  <c r="D43" i="35"/>
  <c r="E43" i="35"/>
  <c r="D38" i="40"/>
  <c r="E38" i="40"/>
  <c r="H45" i="23"/>
  <c r="D46" i="23"/>
  <c r="E46" i="23"/>
  <c r="H42" i="31"/>
  <c r="D43" i="31"/>
  <c r="E43" i="31"/>
  <c r="G42" i="34"/>
  <c r="I42" i="34" s="1"/>
  <c r="D43" i="34"/>
  <c r="E43" i="34"/>
  <c r="I41" i="38"/>
  <c r="B49" i="18"/>
  <c r="F49" i="18"/>
  <c r="H49" i="18" s="1"/>
  <c r="D45" i="25"/>
  <c r="E45" i="25"/>
  <c r="F50" i="4"/>
  <c r="G50" i="4" s="1"/>
  <c r="B50" i="4"/>
  <c r="G37" i="41"/>
  <c r="I37" i="41" s="1"/>
  <c r="D38" i="41"/>
  <c r="E38" i="41"/>
  <c r="H44" i="25"/>
  <c r="B46" i="22"/>
  <c r="F46" i="22"/>
  <c r="H46" i="22" s="1"/>
  <c r="B47" i="21"/>
  <c r="F47" i="21"/>
  <c r="G47" i="21" s="1"/>
  <c r="H41" i="37"/>
  <c r="I41" i="37" s="1"/>
  <c r="D42" i="37"/>
  <c r="E42" i="37"/>
  <c r="H46" i="27"/>
  <c r="I46" i="27" s="1"/>
  <c r="D47" i="27"/>
  <c r="E47" i="27"/>
  <c r="F49" i="19"/>
  <c r="B49" i="19"/>
  <c r="D40" i="39"/>
  <c r="E40" i="39"/>
  <c r="H37" i="42"/>
  <c r="I37" i="42" s="1"/>
  <c r="D38" i="42"/>
  <c r="E38" i="42"/>
  <c r="G46" i="24"/>
  <c r="I46" i="24" s="1"/>
  <c r="D47" i="24"/>
  <c r="E47" i="24"/>
  <c r="H37" i="40"/>
  <c r="I37" i="40" s="1"/>
  <c r="G45" i="23"/>
  <c r="G42" i="31"/>
  <c r="G44" i="25"/>
  <c r="B51" i="3"/>
  <c r="F51" i="3"/>
  <c r="E54" i="28"/>
  <c r="F54" i="28" s="1"/>
  <c r="G54" i="28" s="1"/>
  <c r="G45" i="26"/>
  <c r="I45" i="26" s="1"/>
  <c r="D46" i="26"/>
  <c r="E46" i="26"/>
  <c r="G46" i="22" l="1"/>
  <c r="I45" i="23"/>
  <c r="I46" i="22"/>
  <c r="B46" i="26"/>
  <c r="F46" i="26"/>
  <c r="G46" i="26" s="1"/>
  <c r="G49" i="19"/>
  <c r="D50" i="19"/>
  <c r="E50" i="19"/>
  <c r="F46" i="23"/>
  <c r="B46" i="23"/>
  <c r="F40" i="39"/>
  <c r="H40" i="39" s="1"/>
  <c r="B40" i="39"/>
  <c r="F42" i="37"/>
  <c r="B42" i="37"/>
  <c r="I44" i="25"/>
  <c r="B43" i="31"/>
  <c r="F43" i="31"/>
  <c r="H43" i="31" s="1"/>
  <c r="B43" i="35"/>
  <c r="F43" i="35"/>
  <c r="G43" i="35" s="1"/>
  <c r="F44" i="29"/>
  <c r="G51" i="3"/>
  <c r="D52" i="3"/>
  <c r="E52" i="3"/>
  <c r="D51" i="4"/>
  <c r="E51" i="4"/>
  <c r="F42" i="38"/>
  <c r="B42" i="38"/>
  <c r="D55" i="28"/>
  <c r="E55" i="28" s="1"/>
  <c r="F55" i="28" s="1"/>
  <c r="B38" i="42"/>
  <c r="F38" i="42"/>
  <c r="H38" i="42" s="1"/>
  <c r="H49" i="19"/>
  <c r="I49" i="19" s="1"/>
  <c r="B47" i="27"/>
  <c r="F47" i="27"/>
  <c r="G47" i="27" s="1"/>
  <c r="H47" i="27"/>
  <c r="H47" i="21"/>
  <c r="I47" i="21" s="1"/>
  <c r="D48" i="21"/>
  <c r="E48" i="21"/>
  <c r="D47" i="22"/>
  <c r="E47" i="22"/>
  <c r="H50" i="4"/>
  <c r="I50" i="4" s="1"/>
  <c r="G49" i="18"/>
  <c r="I49" i="18" s="1"/>
  <c r="D50" i="18"/>
  <c r="E50" i="18"/>
  <c r="B43" i="34"/>
  <c r="F43" i="34"/>
  <c r="H43" i="34"/>
  <c r="I42" i="31"/>
  <c r="F45" i="25"/>
  <c r="G45" i="25" s="1"/>
  <c r="B45" i="25"/>
  <c r="H51" i="3"/>
  <c r="B47" i="24"/>
  <c r="F47" i="24"/>
  <c r="B38" i="41"/>
  <c r="F38" i="41"/>
  <c r="G38" i="41" s="1"/>
  <c r="B38" i="40"/>
  <c r="F38" i="40"/>
  <c r="G38" i="40" s="1"/>
  <c r="H54" i="28"/>
  <c r="I54" i="28" s="1"/>
  <c r="F51" i="4" l="1"/>
  <c r="I47" i="27"/>
  <c r="F52" i="3"/>
  <c r="H43" i="35"/>
  <c r="I43" i="35" s="1"/>
  <c r="F50" i="19"/>
  <c r="D51" i="19" s="1"/>
  <c r="I51" i="3"/>
  <c r="D48" i="24"/>
  <c r="E48" i="24"/>
  <c r="B47" i="22"/>
  <c r="F47" i="22"/>
  <c r="G47" i="22" s="1"/>
  <c r="D53" i="3"/>
  <c r="E53" i="3"/>
  <c r="H38" i="40"/>
  <c r="I38" i="40" s="1"/>
  <c r="D39" i="40"/>
  <c r="E39" i="40"/>
  <c r="D39" i="41"/>
  <c r="E39" i="41"/>
  <c r="H47" i="24"/>
  <c r="G43" i="34"/>
  <c r="I43" i="34" s="1"/>
  <c r="D44" i="34"/>
  <c r="E44" i="34"/>
  <c r="B55" i="28"/>
  <c r="H55" i="28"/>
  <c r="D43" i="38"/>
  <c r="E43" i="38"/>
  <c r="B52" i="3"/>
  <c r="G52" i="3"/>
  <c r="H52" i="3"/>
  <c r="H42" i="37"/>
  <c r="D43" i="37"/>
  <c r="E43" i="37"/>
  <c r="D41" i="39"/>
  <c r="E41" i="39"/>
  <c r="H46" i="26"/>
  <c r="D47" i="26"/>
  <c r="E47" i="26"/>
  <c r="B50" i="18"/>
  <c r="F50" i="18"/>
  <c r="H50" i="18"/>
  <c r="G55" i="28"/>
  <c r="D56" i="28"/>
  <c r="E56" i="28" s="1"/>
  <c r="F56" i="28" s="1"/>
  <c r="H46" i="23"/>
  <c r="D47" i="23"/>
  <c r="E47" i="23"/>
  <c r="H45" i="25"/>
  <c r="I45" i="25" s="1"/>
  <c r="D46" i="25"/>
  <c r="E46" i="25"/>
  <c r="F48" i="21"/>
  <c r="G48" i="21" s="1"/>
  <c r="B48" i="21"/>
  <c r="D48" i="27"/>
  <c r="E48" i="27"/>
  <c r="G38" i="42"/>
  <c r="I38" i="42" s="1"/>
  <c r="D39" i="42"/>
  <c r="E39" i="42"/>
  <c r="G42" i="38"/>
  <c r="D52" i="4"/>
  <c r="E52" i="4"/>
  <c r="G43" i="31"/>
  <c r="I43" i="31" s="1"/>
  <c r="D44" i="31"/>
  <c r="E44" i="31"/>
  <c r="G40" i="39"/>
  <c r="I40" i="39" s="1"/>
  <c r="G46" i="23"/>
  <c r="B50" i="19"/>
  <c r="H50" i="19"/>
  <c r="G44" i="29"/>
  <c r="D45" i="29"/>
  <c r="E45" i="29"/>
  <c r="I46" i="26"/>
  <c r="H38" i="41"/>
  <c r="I38" i="41" s="1"/>
  <c r="G47" i="24"/>
  <c r="H42" i="38"/>
  <c r="I42" i="38" s="1"/>
  <c r="B51" i="4"/>
  <c r="H51" i="4"/>
  <c r="G51" i="4"/>
  <c r="H44" i="29"/>
  <c r="I44" i="29" s="1"/>
  <c r="D44" i="35"/>
  <c r="E44" i="35"/>
  <c r="G42" i="37"/>
  <c r="F52" i="4" l="1"/>
  <c r="G50" i="19"/>
  <c r="I50" i="19" s="1"/>
  <c r="E51" i="19"/>
  <c r="I47" i="24"/>
  <c r="I46" i="23"/>
  <c r="B48" i="27"/>
  <c r="F48" i="27"/>
  <c r="G48" i="27"/>
  <c r="B51" i="19"/>
  <c r="I55" i="28"/>
  <c r="F39" i="41"/>
  <c r="G39" i="41" s="1"/>
  <c r="B39" i="41"/>
  <c r="F39" i="42"/>
  <c r="B39" i="42"/>
  <c r="B53" i="3"/>
  <c r="F53" i="3"/>
  <c r="H53" i="3" s="1"/>
  <c r="F44" i="35"/>
  <c r="B44" i="35"/>
  <c r="F47" i="23"/>
  <c r="B47" i="23"/>
  <c r="F43" i="37"/>
  <c r="B43" i="37"/>
  <c r="F44" i="34"/>
  <c r="B44" i="34"/>
  <c r="D53" i="4"/>
  <c r="F47" i="26"/>
  <c r="B47" i="26"/>
  <c r="I42" i="37"/>
  <c r="F45" i="29"/>
  <c r="B52" i="4"/>
  <c r="G52" i="4"/>
  <c r="H52" i="4"/>
  <c r="D57" i="28"/>
  <c r="E57" i="28" s="1"/>
  <c r="F57" i="28" s="1"/>
  <c r="G50" i="18"/>
  <c r="I50" i="18" s="1"/>
  <c r="D51" i="18"/>
  <c r="E51" i="18"/>
  <c r="B41" i="39"/>
  <c r="F41" i="39"/>
  <c r="G41" i="39"/>
  <c r="B39" i="40"/>
  <c r="F39" i="40"/>
  <c r="H39" i="40" s="1"/>
  <c r="F48" i="24"/>
  <c r="G48" i="24" s="1"/>
  <c r="B48" i="24"/>
  <c r="F46" i="25"/>
  <c r="H46" i="25" s="1"/>
  <c r="B46" i="25"/>
  <c r="I51" i="4"/>
  <c r="F44" i="31"/>
  <c r="B44" i="31"/>
  <c r="H48" i="21"/>
  <c r="I48" i="21" s="1"/>
  <c r="D49" i="21"/>
  <c r="E49" i="21"/>
  <c r="B56" i="28"/>
  <c r="H56" i="28"/>
  <c r="G56" i="28"/>
  <c r="F51" i="19"/>
  <c r="G51" i="19" s="1"/>
  <c r="I52" i="3"/>
  <c r="F43" i="38"/>
  <c r="G43" i="38" s="1"/>
  <c r="B43" i="38"/>
  <c r="H47" i="22"/>
  <c r="I47" i="22" s="1"/>
  <c r="D48" i="22"/>
  <c r="E48" i="22"/>
  <c r="G46" i="25" l="1"/>
  <c r="H43" i="38"/>
  <c r="H48" i="24"/>
  <c r="I52" i="4"/>
  <c r="H39" i="41"/>
  <c r="I39" i="41" s="1"/>
  <c r="D58" i="28"/>
  <c r="E58" i="28" s="1"/>
  <c r="F58" i="28" s="1"/>
  <c r="B53" i="4"/>
  <c r="D40" i="42"/>
  <c r="E40" i="42"/>
  <c r="F49" i="21"/>
  <c r="B49" i="21"/>
  <c r="H49" i="21"/>
  <c r="G39" i="40"/>
  <c r="I39" i="40" s="1"/>
  <c r="D40" i="40"/>
  <c r="E40" i="40"/>
  <c r="D42" i="39"/>
  <c r="E42" i="39"/>
  <c r="H47" i="26"/>
  <c r="D48" i="26"/>
  <c r="E48" i="26"/>
  <c r="D45" i="34"/>
  <c r="E45" i="34"/>
  <c r="D44" i="37"/>
  <c r="E44" i="37"/>
  <c r="D48" i="23"/>
  <c r="E48" i="23"/>
  <c r="D45" i="35"/>
  <c r="E45" i="35"/>
  <c r="H39" i="42"/>
  <c r="B51" i="18"/>
  <c r="F48" i="22"/>
  <c r="B48" i="22"/>
  <c r="H44" i="31"/>
  <c r="D45" i="31"/>
  <c r="E45" i="31"/>
  <c r="D44" i="38"/>
  <c r="E44" i="38"/>
  <c r="I56" i="28"/>
  <c r="D47" i="25"/>
  <c r="E47" i="25"/>
  <c r="D49" i="24"/>
  <c r="E49" i="24"/>
  <c r="H44" i="34"/>
  <c r="H43" i="37"/>
  <c r="G47" i="23"/>
  <c r="G44" i="35"/>
  <c r="G39" i="42"/>
  <c r="H48" i="27"/>
  <c r="I48" i="27" s="1"/>
  <c r="D49" i="27"/>
  <c r="E49" i="27"/>
  <c r="D52" i="19"/>
  <c r="E52" i="19"/>
  <c r="G45" i="29"/>
  <c r="D46" i="29"/>
  <c r="E46" i="29"/>
  <c r="I43" i="38"/>
  <c r="G44" i="31"/>
  <c r="I44" i="31" s="1"/>
  <c r="I46" i="25"/>
  <c r="I48" i="24"/>
  <c r="H41" i="39"/>
  <c r="I41" i="39" s="1"/>
  <c r="F51" i="18"/>
  <c r="G51" i="18" s="1"/>
  <c r="B57" i="28"/>
  <c r="G57" i="28"/>
  <c r="H57" i="28"/>
  <c r="I57" i="28" s="1"/>
  <c r="H45" i="29"/>
  <c r="I45" i="29" s="1"/>
  <c r="G47" i="26"/>
  <c r="I47" i="26" s="1"/>
  <c r="E53" i="4"/>
  <c r="F53" i="4" s="1"/>
  <c r="G44" i="34"/>
  <c r="G43" i="37"/>
  <c r="H47" i="23"/>
  <c r="H44" i="35"/>
  <c r="G53" i="3"/>
  <c r="I53" i="3" s="1"/>
  <c r="D54" i="3"/>
  <c r="D40" i="41"/>
  <c r="E40" i="41"/>
  <c r="H51" i="19"/>
  <c r="I51" i="19" s="1"/>
  <c r="I44" i="35" l="1"/>
  <c r="I39" i="42"/>
  <c r="H58" i="28"/>
  <c r="D59" i="28"/>
  <c r="E59" i="28" s="1"/>
  <c r="F59" i="28" s="1"/>
  <c r="B45" i="31"/>
  <c r="F45" i="31"/>
  <c r="G45" i="31"/>
  <c r="B45" i="34"/>
  <c r="F45" i="34"/>
  <c r="G45" i="34"/>
  <c r="I47" i="23"/>
  <c r="B49" i="24"/>
  <c r="F49" i="24"/>
  <c r="H49" i="24"/>
  <c r="B42" i="39"/>
  <c r="F42" i="39"/>
  <c r="B40" i="42"/>
  <c r="F40" i="42"/>
  <c r="B49" i="27"/>
  <c r="F49" i="27"/>
  <c r="G49" i="27" s="1"/>
  <c r="H48" i="22"/>
  <c r="D49" i="22"/>
  <c r="E49" i="22"/>
  <c r="F40" i="41"/>
  <c r="G40" i="41" s="1"/>
  <c r="B40" i="41"/>
  <c r="D54" i="4"/>
  <c r="E54" i="4" s="1"/>
  <c r="F54" i="4" s="1"/>
  <c r="B52" i="19"/>
  <c r="F52" i="19"/>
  <c r="G52" i="19" s="1"/>
  <c r="I43" i="37"/>
  <c r="B44" i="38"/>
  <c r="F44" i="38"/>
  <c r="G44" i="38" s="1"/>
  <c r="G48" i="22"/>
  <c r="I48" i="22" s="1"/>
  <c r="B45" i="35"/>
  <c r="F45" i="35"/>
  <c r="G45" i="35" s="1"/>
  <c r="F44" i="37"/>
  <c r="B44" i="37"/>
  <c r="B48" i="26"/>
  <c r="F48" i="26"/>
  <c r="G48" i="26" s="1"/>
  <c r="H53" i="4"/>
  <c r="B54" i="3"/>
  <c r="H51" i="18"/>
  <c r="I51" i="18" s="1"/>
  <c r="D52" i="18"/>
  <c r="E52" i="18"/>
  <c r="B48" i="23"/>
  <c r="E54" i="3"/>
  <c r="F54" i="3" s="1"/>
  <c r="H54" i="3" s="1"/>
  <c r="F46" i="29"/>
  <c r="G46" i="29" s="1"/>
  <c r="I44" i="34"/>
  <c r="F47" i="25"/>
  <c r="G47" i="25" s="1"/>
  <c r="B47" i="25"/>
  <c r="F48" i="23"/>
  <c r="H48" i="23" s="1"/>
  <c r="F40" i="40"/>
  <c r="B40" i="40"/>
  <c r="G49" i="21"/>
  <c r="I49" i="21" s="1"/>
  <c r="D50" i="21"/>
  <c r="E50" i="21"/>
  <c r="G53" i="4"/>
  <c r="B58" i="28"/>
  <c r="G58" i="28"/>
  <c r="H45" i="35" l="1"/>
  <c r="I58" i="28"/>
  <c r="I45" i="35"/>
  <c r="H46" i="29"/>
  <c r="I46" i="29" s="1"/>
  <c r="G48" i="23"/>
  <c r="I48" i="23" s="1"/>
  <c r="I53" i="4"/>
  <c r="B50" i="21"/>
  <c r="H44" i="37"/>
  <c r="D45" i="37"/>
  <c r="E45" i="37"/>
  <c r="F49" i="22"/>
  <c r="H49" i="22" s="1"/>
  <c r="B49" i="22"/>
  <c r="D41" i="42"/>
  <c r="E41" i="42"/>
  <c r="H42" i="39"/>
  <c r="D43" i="39"/>
  <c r="E43" i="39"/>
  <c r="D60" i="28"/>
  <c r="E60" i="28" s="1"/>
  <c r="D55" i="4"/>
  <c r="E55" i="4"/>
  <c r="F55" i="4" s="1"/>
  <c r="B59" i="28"/>
  <c r="G59" i="28"/>
  <c r="H59" i="28"/>
  <c r="D41" i="40"/>
  <c r="E41" i="40"/>
  <c r="H40" i="40"/>
  <c r="D48" i="25"/>
  <c r="E48" i="25"/>
  <c r="F48" i="25" s="1"/>
  <c r="G44" i="37"/>
  <c r="B54" i="4"/>
  <c r="G54" i="4"/>
  <c r="H54" i="4"/>
  <c r="D41" i="41"/>
  <c r="E41" i="41"/>
  <c r="G40" i="42"/>
  <c r="H45" i="31"/>
  <c r="I45" i="31" s="1"/>
  <c r="D46" i="31"/>
  <c r="E46" i="31"/>
  <c r="B52" i="18"/>
  <c r="D49" i="26"/>
  <c r="E49" i="26"/>
  <c r="D50" i="27"/>
  <c r="E50" i="27"/>
  <c r="D49" i="23"/>
  <c r="E49" i="23"/>
  <c r="D47" i="29"/>
  <c r="E47" i="29"/>
  <c r="F50" i="21"/>
  <c r="G50" i="21" s="1"/>
  <c r="G40" i="40"/>
  <c r="H47" i="25"/>
  <c r="I47" i="25" s="1"/>
  <c r="D55" i="3"/>
  <c r="E55" i="3" s="1"/>
  <c r="F55" i="3" s="1"/>
  <c r="F52" i="18"/>
  <c r="G54" i="3"/>
  <c r="I54" i="3" s="1"/>
  <c r="H48" i="26"/>
  <c r="I48" i="26" s="1"/>
  <c r="D46" i="35"/>
  <c r="E46" i="35"/>
  <c r="H44" i="38"/>
  <c r="I44" i="38" s="1"/>
  <c r="D45" i="38"/>
  <c r="E45" i="38"/>
  <c r="H52" i="19"/>
  <c r="I52" i="19" s="1"/>
  <c r="D53" i="19"/>
  <c r="E53" i="19" s="1"/>
  <c r="F53" i="19" s="1"/>
  <c r="H40" i="41"/>
  <c r="I40" i="41" s="1"/>
  <c r="H49" i="27"/>
  <c r="I49" i="27" s="1"/>
  <c r="H40" i="42"/>
  <c r="G42" i="39"/>
  <c r="G49" i="24"/>
  <c r="I49" i="24" s="1"/>
  <c r="D50" i="24"/>
  <c r="E50" i="24"/>
  <c r="H45" i="34"/>
  <c r="I45" i="34" s="1"/>
  <c r="D46" i="34"/>
  <c r="E46" i="34"/>
  <c r="F49" i="23" l="1"/>
  <c r="F49" i="26"/>
  <c r="D50" i="26" s="1"/>
  <c r="I42" i="39"/>
  <c r="I44" i="37"/>
  <c r="I54" i="4"/>
  <c r="I59" i="28"/>
  <c r="I40" i="42"/>
  <c r="D54" i="19"/>
  <c r="E54" i="19" s="1"/>
  <c r="F54" i="19" s="1"/>
  <c r="E50" i="26"/>
  <c r="B41" i="42"/>
  <c r="F41" i="42"/>
  <c r="H41" i="42" s="1"/>
  <c r="F46" i="35"/>
  <c r="G46" i="35" s="1"/>
  <c r="B46" i="35"/>
  <c r="D56" i="3"/>
  <c r="E56" i="3" s="1"/>
  <c r="F56" i="3" s="1"/>
  <c r="D51" i="21"/>
  <c r="E51" i="21"/>
  <c r="F51" i="21" s="1"/>
  <c r="B49" i="23"/>
  <c r="G49" i="23"/>
  <c r="H49" i="23"/>
  <c r="B49" i="26"/>
  <c r="H49" i="26"/>
  <c r="G49" i="26"/>
  <c r="F46" i="31"/>
  <c r="B46" i="31"/>
  <c r="B55" i="4"/>
  <c r="G55" i="4"/>
  <c r="H55" i="4"/>
  <c r="F43" i="39"/>
  <c r="G43" i="39" s="1"/>
  <c r="B43" i="39"/>
  <c r="H50" i="21"/>
  <c r="I50" i="21" s="1"/>
  <c r="B50" i="24"/>
  <c r="G52" i="18"/>
  <c r="D53" i="18"/>
  <c r="E53" i="18" s="1"/>
  <c r="F53" i="18" s="1"/>
  <c r="D50" i="23"/>
  <c r="E50" i="23"/>
  <c r="D50" i="22"/>
  <c r="E50" i="22"/>
  <c r="B46" i="34"/>
  <c r="F46" i="34"/>
  <c r="G46" i="34" s="1"/>
  <c r="H46" i="34"/>
  <c r="F45" i="38"/>
  <c r="B45" i="38"/>
  <c r="B55" i="3"/>
  <c r="H55" i="3"/>
  <c r="G55" i="3"/>
  <c r="F47" i="29"/>
  <c r="F50" i="27"/>
  <c r="H52" i="18"/>
  <c r="H48" i="25"/>
  <c r="D49" i="25"/>
  <c r="E49" i="25"/>
  <c r="G49" i="22"/>
  <c r="I49" i="22" s="1"/>
  <c r="B45" i="37"/>
  <c r="F45" i="37"/>
  <c r="G45" i="37" s="1"/>
  <c r="I40" i="40"/>
  <c r="D56" i="4"/>
  <c r="E56" i="4" s="1"/>
  <c r="F56" i="4" s="1"/>
  <c r="F50" i="24"/>
  <c r="G50" i="24" s="1"/>
  <c r="B53" i="19"/>
  <c r="H53" i="19"/>
  <c r="G53" i="19"/>
  <c r="H47" i="29"/>
  <c r="B50" i="27"/>
  <c r="F41" i="41"/>
  <c r="B41" i="41"/>
  <c r="B48" i="25"/>
  <c r="G48" i="25"/>
  <c r="B41" i="40"/>
  <c r="F41" i="40"/>
  <c r="G41" i="40" s="1"/>
  <c r="B60" i="28"/>
  <c r="F60" i="28"/>
  <c r="F49" i="25" l="1"/>
  <c r="H50" i="24"/>
  <c r="I52" i="18"/>
  <c r="F50" i="22"/>
  <c r="D51" i="22" s="1"/>
  <c r="I49" i="23"/>
  <c r="I46" i="34"/>
  <c r="I49" i="26"/>
  <c r="I55" i="3"/>
  <c r="I48" i="25"/>
  <c r="B50" i="23"/>
  <c r="G51" i="21"/>
  <c r="D52" i="21"/>
  <c r="E52" i="21" s="1"/>
  <c r="F52" i="21" s="1"/>
  <c r="D54" i="18"/>
  <c r="E54" i="18" s="1"/>
  <c r="F54" i="18" s="1"/>
  <c r="D47" i="31"/>
  <c r="E47" i="31"/>
  <c r="B51" i="21"/>
  <c r="H51" i="21"/>
  <c r="D42" i="42"/>
  <c r="E42" i="42"/>
  <c r="H60" i="28"/>
  <c r="D61" i="28"/>
  <c r="E61" i="28" s="1"/>
  <c r="G45" i="38"/>
  <c r="D46" i="38"/>
  <c r="E46" i="38"/>
  <c r="I50" i="24"/>
  <c r="D50" i="25"/>
  <c r="E50" i="25"/>
  <c r="D51" i="27"/>
  <c r="E51" i="27"/>
  <c r="H50" i="27"/>
  <c r="D57" i="4"/>
  <c r="E57" i="4" s="1"/>
  <c r="F57" i="4" s="1"/>
  <c r="H45" i="37"/>
  <c r="I45" i="37" s="1"/>
  <c r="D46" i="37"/>
  <c r="E46" i="37"/>
  <c r="B49" i="25"/>
  <c r="H49" i="25"/>
  <c r="G49" i="25"/>
  <c r="G47" i="29"/>
  <c r="I47" i="29" s="1"/>
  <c r="D48" i="29"/>
  <c r="E48" i="29"/>
  <c r="H45" i="38"/>
  <c r="B50" i="22"/>
  <c r="B53" i="18"/>
  <c r="H53" i="18"/>
  <c r="G53" i="18"/>
  <c r="H43" i="39"/>
  <c r="I43" i="39" s="1"/>
  <c r="D44" i="39"/>
  <c r="E44" i="39"/>
  <c r="H46" i="31"/>
  <c r="D57" i="3"/>
  <c r="E57" i="3" s="1"/>
  <c r="F57" i="3" s="1"/>
  <c r="H46" i="35"/>
  <c r="I46" i="35" s="1"/>
  <c r="D47" i="35"/>
  <c r="E47" i="35"/>
  <c r="G54" i="19"/>
  <c r="D55" i="19"/>
  <c r="E55" i="19" s="1"/>
  <c r="F55" i="19" s="1"/>
  <c r="B50" i="26"/>
  <c r="F50" i="26"/>
  <c r="G50" i="26" s="1"/>
  <c r="G41" i="41"/>
  <c r="D42" i="41"/>
  <c r="E42" i="41"/>
  <c r="D51" i="24"/>
  <c r="E51" i="24"/>
  <c r="G60" i="28"/>
  <c r="I60" i="28" s="1"/>
  <c r="H41" i="40"/>
  <c r="I41" i="40" s="1"/>
  <c r="D42" i="40"/>
  <c r="E42" i="40"/>
  <c r="H41" i="41"/>
  <c r="G50" i="27"/>
  <c r="I53" i="19"/>
  <c r="B56" i="4"/>
  <c r="H56" i="4"/>
  <c r="G56" i="4"/>
  <c r="D47" i="34"/>
  <c r="E47" i="34"/>
  <c r="F50" i="23"/>
  <c r="G50" i="23" s="1"/>
  <c r="I55" i="4"/>
  <c r="G46" i="31"/>
  <c r="B56" i="3"/>
  <c r="H56" i="3"/>
  <c r="G56" i="3"/>
  <c r="G41" i="42"/>
  <c r="I41" i="42" s="1"/>
  <c r="B54" i="19"/>
  <c r="H54" i="19"/>
  <c r="G50" i="22" l="1"/>
  <c r="F47" i="35"/>
  <c r="H50" i="22"/>
  <c r="I50" i="22" s="1"/>
  <c r="F50" i="25"/>
  <c r="D51" i="25" s="1"/>
  <c r="F48" i="29"/>
  <c r="F46" i="38"/>
  <c r="D47" i="38" s="1"/>
  <c r="I56" i="3"/>
  <c r="I56" i="4"/>
  <c r="I45" i="38"/>
  <c r="I53" i="18"/>
  <c r="I50" i="27"/>
  <c r="F51" i="27"/>
  <c r="H51" i="27" s="1"/>
  <c r="G55" i="19"/>
  <c r="D56" i="19"/>
  <c r="E56" i="19" s="1"/>
  <c r="F56" i="19" s="1"/>
  <c r="H52" i="21"/>
  <c r="D53" i="21"/>
  <c r="E53" i="21" s="1"/>
  <c r="F53" i="21" s="1"/>
  <c r="D58" i="4"/>
  <c r="F42" i="41"/>
  <c r="G42" i="41" s="1"/>
  <c r="B42" i="41"/>
  <c r="B42" i="42"/>
  <c r="F42" i="42"/>
  <c r="H42" i="42" s="1"/>
  <c r="F47" i="34"/>
  <c r="G47" i="34" s="1"/>
  <c r="B47" i="34"/>
  <c r="F42" i="40"/>
  <c r="G42" i="40" s="1"/>
  <c r="B42" i="40"/>
  <c r="D48" i="35"/>
  <c r="E48" i="35"/>
  <c r="B57" i="3"/>
  <c r="G57" i="3"/>
  <c r="H57" i="3"/>
  <c r="D49" i="29"/>
  <c r="E49" i="29"/>
  <c r="I49" i="25"/>
  <c r="B50" i="25"/>
  <c r="H50" i="25"/>
  <c r="E47" i="38"/>
  <c r="F61" i="28"/>
  <c r="D62" i="28" s="1"/>
  <c r="B61" i="28"/>
  <c r="I51" i="21"/>
  <c r="G54" i="18"/>
  <c r="D55" i="18"/>
  <c r="H50" i="23"/>
  <c r="I50" i="23" s="1"/>
  <c r="D58" i="3"/>
  <c r="E58" i="3"/>
  <c r="F58" i="3" s="1"/>
  <c r="F46" i="37"/>
  <c r="H46" i="37" s="1"/>
  <c r="B46" i="37"/>
  <c r="B51" i="22"/>
  <c r="F51" i="24"/>
  <c r="D52" i="24" s="1"/>
  <c r="B51" i="24"/>
  <c r="B47" i="35"/>
  <c r="G47" i="35"/>
  <c r="H47" i="35"/>
  <c r="I46" i="31"/>
  <c r="H48" i="29"/>
  <c r="G48" i="29"/>
  <c r="B46" i="38"/>
  <c r="H46" i="38"/>
  <c r="B54" i="18"/>
  <c r="H54" i="18"/>
  <c r="B44" i="39"/>
  <c r="F44" i="39"/>
  <c r="B47" i="31"/>
  <c r="I54" i="19"/>
  <c r="D51" i="23"/>
  <c r="E51" i="23"/>
  <c r="I41" i="41"/>
  <c r="H50" i="26"/>
  <c r="I50" i="26" s="1"/>
  <c r="D51" i="26"/>
  <c r="E51" i="26"/>
  <c r="B55" i="19"/>
  <c r="H55" i="19"/>
  <c r="I55" i="19" s="1"/>
  <c r="B57" i="4"/>
  <c r="H57" i="4"/>
  <c r="G57" i="4"/>
  <c r="B51" i="27"/>
  <c r="F47" i="31"/>
  <c r="E51" i="22"/>
  <c r="F51" i="22" s="1"/>
  <c r="B52" i="21"/>
  <c r="G52" i="21"/>
  <c r="G50" i="25" l="1"/>
  <c r="G46" i="38"/>
  <c r="G51" i="27"/>
  <c r="I52" i="21"/>
  <c r="I54" i="18"/>
  <c r="D52" i="27"/>
  <c r="E52" i="27" s="1"/>
  <c r="F52" i="27" s="1"/>
  <c r="H52" i="27" s="1"/>
  <c r="G61" i="28"/>
  <c r="H42" i="40"/>
  <c r="I42" i="40" s="1"/>
  <c r="H47" i="34"/>
  <c r="I47" i="34" s="1"/>
  <c r="I46" i="38"/>
  <c r="I50" i="25"/>
  <c r="I57" i="4"/>
  <c r="H51" i="24"/>
  <c r="G51" i="24"/>
  <c r="I48" i="29"/>
  <c r="D52" i="22"/>
  <c r="E52" i="22" s="1"/>
  <c r="H44" i="39"/>
  <c r="D45" i="39"/>
  <c r="E45" i="39"/>
  <c r="B51" i="25"/>
  <c r="B55" i="18"/>
  <c r="B58" i="4"/>
  <c r="G47" i="31"/>
  <c r="D48" i="31"/>
  <c r="E48" i="31"/>
  <c r="H47" i="31"/>
  <c r="I47" i="35"/>
  <c r="G51" i="22"/>
  <c r="B58" i="3"/>
  <c r="H58" i="3"/>
  <c r="F49" i="29"/>
  <c r="G49" i="29" s="1"/>
  <c r="G42" i="42"/>
  <c r="I42" i="42" s="1"/>
  <c r="D43" i="42"/>
  <c r="E43" i="42"/>
  <c r="D54" i="21"/>
  <c r="E54" i="21" s="1"/>
  <c r="F54" i="21" s="1"/>
  <c r="D57" i="19"/>
  <c r="E57" i="19" s="1"/>
  <c r="F57" i="19" s="1"/>
  <c r="B52" i="27"/>
  <c r="G58" i="3"/>
  <c r="D59" i="3"/>
  <c r="E59" i="3" s="1"/>
  <c r="F59" i="3" s="1"/>
  <c r="B47" i="38"/>
  <c r="F47" i="38"/>
  <c r="I51" i="27"/>
  <c r="F51" i="26"/>
  <c r="G51" i="26" s="1"/>
  <c r="E62" i="28"/>
  <c r="F62" i="28" s="1"/>
  <c r="B62" i="28"/>
  <c r="H49" i="29"/>
  <c r="D43" i="41"/>
  <c r="E43" i="41"/>
  <c r="B53" i="21"/>
  <c r="H53" i="21"/>
  <c r="G53" i="21"/>
  <c r="B56" i="19"/>
  <c r="G56" i="19"/>
  <c r="H56" i="19"/>
  <c r="H51" i="22"/>
  <c r="B51" i="26"/>
  <c r="B51" i="23"/>
  <c r="F51" i="23"/>
  <c r="H51" i="23" s="1"/>
  <c r="G44" i="39"/>
  <c r="E52" i="24"/>
  <c r="F52" i="24" s="1"/>
  <c r="D53" i="24" s="1"/>
  <c r="B52" i="24"/>
  <c r="E51" i="25"/>
  <c r="F51" i="25" s="1"/>
  <c r="H51" i="25" s="1"/>
  <c r="G46" i="37"/>
  <c r="I46" i="37" s="1"/>
  <c r="D47" i="37"/>
  <c r="E47" i="37"/>
  <c r="E55" i="18"/>
  <c r="F55" i="18" s="1"/>
  <c r="H61" i="28"/>
  <c r="I57" i="3"/>
  <c r="F48" i="35"/>
  <c r="H48" i="35" s="1"/>
  <c r="B48" i="35"/>
  <c r="D43" i="40"/>
  <c r="E43" i="40"/>
  <c r="D48" i="34"/>
  <c r="E48" i="34"/>
  <c r="H42" i="41"/>
  <c r="I42" i="41" s="1"/>
  <c r="E58" i="4"/>
  <c r="F58" i="4" s="1"/>
  <c r="G58" i="4" s="1"/>
  <c r="F48" i="31" l="1"/>
  <c r="G51" i="23"/>
  <c r="I51" i="22"/>
  <c r="I61" i="28"/>
  <c r="I51" i="23"/>
  <c r="F47" i="37"/>
  <c r="D48" i="37" s="1"/>
  <c r="G51" i="25"/>
  <c r="I51" i="25" s="1"/>
  <c r="G52" i="24"/>
  <c r="I51" i="24"/>
  <c r="B48" i="34"/>
  <c r="D63" i="28"/>
  <c r="I58" i="3"/>
  <c r="B45" i="39"/>
  <c r="F45" i="39"/>
  <c r="E53" i="24"/>
  <c r="F53" i="24" s="1"/>
  <c r="D54" i="24" s="1"/>
  <c r="B53" i="24"/>
  <c r="H51" i="26"/>
  <c r="I51" i="26" s="1"/>
  <c r="D52" i="26"/>
  <c r="E52" i="26" s="1"/>
  <c r="F52" i="26" s="1"/>
  <c r="B57" i="19"/>
  <c r="G57" i="19"/>
  <c r="H57" i="19"/>
  <c r="H52" i="24"/>
  <c r="G47" i="38"/>
  <c r="D48" i="38"/>
  <c r="E48" i="38"/>
  <c r="D58" i="19"/>
  <c r="E58" i="19" s="1"/>
  <c r="F58" i="19" s="1"/>
  <c r="D59" i="4"/>
  <c r="E59" i="4" s="1"/>
  <c r="D56" i="18"/>
  <c r="E56" i="18" s="1"/>
  <c r="F56" i="18" s="1"/>
  <c r="D52" i="25"/>
  <c r="E52" i="25" s="1"/>
  <c r="F52" i="25" s="1"/>
  <c r="B43" i="42"/>
  <c r="F43" i="42"/>
  <c r="G43" i="42" s="1"/>
  <c r="I47" i="31"/>
  <c r="H55" i="18"/>
  <c r="B43" i="40"/>
  <c r="F43" i="40"/>
  <c r="H43" i="40" s="1"/>
  <c r="D49" i="35"/>
  <c r="E49" i="35"/>
  <c r="D53" i="27"/>
  <c r="E53" i="27" s="1"/>
  <c r="F53" i="27" s="1"/>
  <c r="D52" i="23"/>
  <c r="F43" i="41"/>
  <c r="G43" i="41" s="1"/>
  <c r="B43" i="41"/>
  <c r="G62" i="28"/>
  <c r="D60" i="3"/>
  <c r="E60" i="3" s="1"/>
  <c r="G52" i="27"/>
  <c r="I52" i="27" s="1"/>
  <c r="D55" i="21"/>
  <c r="E55" i="21" s="1"/>
  <c r="F55" i="21" s="1"/>
  <c r="G48" i="31"/>
  <c r="D49" i="31"/>
  <c r="E49" i="31"/>
  <c r="H58" i="4"/>
  <c r="I58" i="4" s="1"/>
  <c r="G55" i="18"/>
  <c r="F48" i="34"/>
  <c r="H48" i="34" s="1"/>
  <c r="G48" i="35"/>
  <c r="I48" i="35" s="1"/>
  <c r="B47" i="37"/>
  <c r="G47" i="37"/>
  <c r="I44" i="39"/>
  <c r="I56" i="19"/>
  <c r="I53" i="21"/>
  <c r="I49" i="29"/>
  <c r="H62" i="28"/>
  <c r="H47" i="38"/>
  <c r="B59" i="3"/>
  <c r="G59" i="3"/>
  <c r="H59" i="3"/>
  <c r="B54" i="21"/>
  <c r="G54" i="21"/>
  <c r="H54" i="21"/>
  <c r="D50" i="29"/>
  <c r="E50" i="29"/>
  <c r="B48" i="31"/>
  <c r="H48" i="31"/>
  <c r="B52" i="22"/>
  <c r="F52" i="22"/>
  <c r="G52" i="22" s="1"/>
  <c r="I52" i="24" l="1"/>
  <c r="E48" i="37"/>
  <c r="I48" i="31"/>
  <c r="I54" i="21"/>
  <c r="H47" i="37"/>
  <c r="I47" i="37" s="1"/>
  <c r="I62" i="28"/>
  <c r="F50" i="29"/>
  <c r="H53" i="24"/>
  <c r="I57" i="19"/>
  <c r="G53" i="24"/>
  <c r="B49" i="31"/>
  <c r="B49" i="35"/>
  <c r="G56" i="18"/>
  <c r="D57" i="18"/>
  <c r="E57" i="18" s="1"/>
  <c r="F57" i="18" s="1"/>
  <c r="B63" i="28"/>
  <c r="B58" i="19"/>
  <c r="G58" i="19"/>
  <c r="H58" i="19"/>
  <c r="B60" i="3"/>
  <c r="F60" i="3"/>
  <c r="H60" i="3" s="1"/>
  <c r="H43" i="41"/>
  <c r="I43" i="41" s="1"/>
  <c r="D44" i="41"/>
  <c r="E44" i="41"/>
  <c r="E54" i="24"/>
  <c r="F54" i="24" s="1"/>
  <c r="H54" i="24"/>
  <c r="B54" i="24"/>
  <c r="G48" i="34"/>
  <c r="I48" i="34" s="1"/>
  <c r="D49" i="34"/>
  <c r="E49" i="34"/>
  <c r="B52" i="23"/>
  <c r="D59" i="19"/>
  <c r="B48" i="37"/>
  <c r="D53" i="26"/>
  <c r="E53" i="26" s="1"/>
  <c r="F53" i="26" s="1"/>
  <c r="G45" i="39"/>
  <c r="D46" i="39"/>
  <c r="E46" i="39"/>
  <c r="I55" i="18"/>
  <c r="D54" i="27"/>
  <c r="B56" i="18"/>
  <c r="H56" i="18"/>
  <c r="B52" i="26"/>
  <c r="H52" i="26"/>
  <c r="G52" i="26"/>
  <c r="H52" i="22"/>
  <c r="I52" i="22" s="1"/>
  <c r="D53" i="22"/>
  <c r="D51" i="29"/>
  <c r="E51" i="29" s="1"/>
  <c r="I47" i="38"/>
  <c r="G55" i="21"/>
  <c r="D56" i="21"/>
  <c r="E56" i="21" s="1"/>
  <c r="F56" i="21" s="1"/>
  <c r="B53" i="27"/>
  <c r="H53" i="27"/>
  <c r="G53" i="27"/>
  <c r="G43" i="40"/>
  <c r="I43" i="40" s="1"/>
  <c r="D44" i="40"/>
  <c r="E44" i="40"/>
  <c r="D53" i="25"/>
  <c r="E53" i="25" s="1"/>
  <c r="F53" i="25" s="1"/>
  <c r="G50" i="29"/>
  <c r="H50" i="29"/>
  <c r="I59" i="3"/>
  <c r="F49" i="31"/>
  <c r="G49" i="31" s="1"/>
  <c r="B55" i="21"/>
  <c r="H55" i="21"/>
  <c r="E52" i="23"/>
  <c r="F52" i="23" s="1"/>
  <c r="G52" i="23" s="1"/>
  <c r="F49" i="35"/>
  <c r="G49" i="35" s="1"/>
  <c r="H43" i="42"/>
  <c r="I43" i="42" s="1"/>
  <c r="D44" i="42"/>
  <c r="E44" i="42"/>
  <c r="B52" i="25"/>
  <c r="G52" i="25"/>
  <c r="H52" i="25"/>
  <c r="B59" i="4"/>
  <c r="F59" i="4"/>
  <c r="H59" i="4" s="1"/>
  <c r="B48" i="38"/>
  <c r="F48" i="38"/>
  <c r="H48" i="38" s="1"/>
  <c r="F48" i="37"/>
  <c r="G48" i="37" s="1"/>
  <c r="H45" i="39"/>
  <c r="E63" i="28"/>
  <c r="F63" i="28" s="1"/>
  <c r="I56" i="18" l="1"/>
  <c r="H48" i="37"/>
  <c r="I55" i="21"/>
  <c r="H49" i="31"/>
  <c r="I49" i="31" s="1"/>
  <c r="I53" i="24"/>
  <c r="G48" i="38"/>
  <c r="I48" i="38" s="1"/>
  <c r="B53" i="22"/>
  <c r="B46" i="39"/>
  <c r="F46" i="39"/>
  <c r="G46" i="39" s="1"/>
  <c r="G63" i="28"/>
  <c r="D64" i="28"/>
  <c r="E64" i="28" s="1"/>
  <c r="D54" i="25"/>
  <c r="E54" i="25" s="1"/>
  <c r="F54" i="25" s="1"/>
  <c r="B49" i="34"/>
  <c r="F49" i="34"/>
  <c r="D58" i="18"/>
  <c r="E58" i="18" s="1"/>
  <c r="F58" i="18" s="1"/>
  <c r="I45" i="39"/>
  <c r="D53" i="23"/>
  <c r="E53" i="23" s="1"/>
  <c r="B56" i="21"/>
  <c r="H56" i="21"/>
  <c r="F51" i="29"/>
  <c r="H51" i="29" s="1"/>
  <c r="D54" i="26"/>
  <c r="E54" i="26" s="1"/>
  <c r="F54" i="26" s="1"/>
  <c r="H52" i="23"/>
  <c r="I52" i="23" s="1"/>
  <c r="D55" i="24"/>
  <c r="B57" i="18"/>
  <c r="G57" i="18"/>
  <c r="H57" i="18"/>
  <c r="B44" i="40"/>
  <c r="F44" i="40"/>
  <c r="H44" i="40" s="1"/>
  <c r="B54" i="27"/>
  <c r="B59" i="19"/>
  <c r="G59" i="4"/>
  <c r="I59" i="4" s="1"/>
  <c r="D60" i="4"/>
  <c r="D50" i="35"/>
  <c r="E50" i="35"/>
  <c r="F50" i="35" s="1"/>
  <c r="D50" i="31"/>
  <c r="G56" i="21"/>
  <c r="D57" i="21"/>
  <c r="E57" i="21"/>
  <c r="F57" i="21" s="1"/>
  <c r="I48" i="37"/>
  <c r="F44" i="41"/>
  <c r="B44" i="41"/>
  <c r="H44" i="41"/>
  <c r="D61" i="3"/>
  <c r="E61" i="3" s="1"/>
  <c r="F61" i="3" s="1"/>
  <c r="H49" i="35"/>
  <c r="I49" i="35" s="1"/>
  <c r="D49" i="38"/>
  <c r="E49" i="38"/>
  <c r="F49" i="38" s="1"/>
  <c r="B53" i="25"/>
  <c r="H53" i="25"/>
  <c r="G53" i="25"/>
  <c r="D49" i="37"/>
  <c r="E49" i="37"/>
  <c r="I52" i="25"/>
  <c r="B44" i="42"/>
  <c r="F44" i="42"/>
  <c r="H44" i="42" s="1"/>
  <c r="I50" i="29"/>
  <c r="I53" i="27"/>
  <c r="E53" i="22"/>
  <c r="F53" i="22" s="1"/>
  <c r="H53" i="22" s="1"/>
  <c r="I52" i="26"/>
  <c r="E54" i="27"/>
  <c r="F54" i="27" s="1"/>
  <c r="H54" i="27" s="1"/>
  <c r="B53" i="26"/>
  <c r="H53" i="26"/>
  <c r="G53" i="26"/>
  <c r="E59" i="19"/>
  <c r="F59" i="19" s="1"/>
  <c r="G59" i="19" s="1"/>
  <c r="G54" i="24"/>
  <c r="I54" i="24" s="1"/>
  <c r="G60" i="3"/>
  <c r="I60" i="3" s="1"/>
  <c r="I58" i="19"/>
  <c r="H63" i="28"/>
  <c r="I63" i="28" s="1"/>
  <c r="G51" i="29" l="1"/>
  <c r="I53" i="26"/>
  <c r="I57" i="18"/>
  <c r="I51" i="29"/>
  <c r="G44" i="42"/>
  <c r="I44" i="42" s="1"/>
  <c r="I53" i="25"/>
  <c r="F49" i="37"/>
  <c r="E50" i="37" s="1"/>
  <c r="B60" i="4"/>
  <c r="D50" i="34"/>
  <c r="E50" i="34"/>
  <c r="D50" i="37"/>
  <c r="H61" i="3"/>
  <c r="D62" i="3"/>
  <c r="D51" i="35"/>
  <c r="B58" i="18"/>
  <c r="G58" i="18"/>
  <c r="H58" i="18"/>
  <c r="D47" i="39"/>
  <c r="E47" i="39"/>
  <c r="B49" i="37"/>
  <c r="G49" i="37"/>
  <c r="H49" i="37"/>
  <c r="B61" i="3"/>
  <c r="G61" i="3"/>
  <c r="I61" i="3" s="1"/>
  <c r="D45" i="41"/>
  <c r="E45" i="41"/>
  <c r="B50" i="35"/>
  <c r="G50" i="35"/>
  <c r="H50" i="35"/>
  <c r="G44" i="40"/>
  <c r="I44" i="40" s="1"/>
  <c r="D45" i="40"/>
  <c r="E45" i="40"/>
  <c r="G54" i="26"/>
  <c r="D55" i="26"/>
  <c r="E55" i="26" s="1"/>
  <c r="F55" i="26" s="1"/>
  <c r="D52" i="29"/>
  <c r="E52" i="29" s="1"/>
  <c r="F52" i="29" s="1"/>
  <c r="F53" i="23"/>
  <c r="G53" i="23" s="1"/>
  <c r="B53" i="23"/>
  <c r="H49" i="34"/>
  <c r="D55" i="25"/>
  <c r="E55" i="25" s="1"/>
  <c r="F55" i="25" s="1"/>
  <c r="H46" i="39"/>
  <c r="I46" i="39" s="1"/>
  <c r="H57" i="21"/>
  <c r="D58" i="21"/>
  <c r="B50" i="31"/>
  <c r="B55" i="24"/>
  <c r="D59" i="18"/>
  <c r="E59" i="18" s="1"/>
  <c r="F59" i="18" s="1"/>
  <c r="D54" i="22"/>
  <c r="E54" i="22" s="1"/>
  <c r="B57" i="21"/>
  <c r="G57" i="21"/>
  <c r="F64" i="28"/>
  <c r="G64" i="28" s="1"/>
  <c r="B64" i="28"/>
  <c r="G53" i="22"/>
  <c r="I53" i="22" s="1"/>
  <c r="D45" i="42"/>
  <c r="E45" i="42"/>
  <c r="H49" i="38"/>
  <c r="D50" i="38"/>
  <c r="E50" i="38"/>
  <c r="D60" i="19"/>
  <c r="E60" i="19" s="1"/>
  <c r="F60" i="19" s="1"/>
  <c r="D55" i="27"/>
  <c r="B49" i="38"/>
  <c r="G49" i="38"/>
  <c r="G44" i="41"/>
  <c r="I44" i="41" s="1"/>
  <c r="E50" i="31"/>
  <c r="F50" i="31" s="1"/>
  <c r="G50" i="31" s="1"/>
  <c r="E60" i="4"/>
  <c r="F60" i="4" s="1"/>
  <c r="H60" i="4" s="1"/>
  <c r="H59" i="19"/>
  <c r="I59" i="19" s="1"/>
  <c r="G54" i="27"/>
  <c r="I54" i="27" s="1"/>
  <c r="E55" i="24"/>
  <c r="F55" i="24" s="1"/>
  <c r="G55" i="24" s="1"/>
  <c r="B54" i="26"/>
  <c r="H54" i="26"/>
  <c r="I56" i="21"/>
  <c r="G49" i="34"/>
  <c r="B54" i="25"/>
  <c r="H54" i="25"/>
  <c r="G54" i="25"/>
  <c r="F50" i="34" l="1"/>
  <c r="I57" i="21"/>
  <c r="I50" i="35"/>
  <c r="I58" i="18"/>
  <c r="H53" i="23"/>
  <c r="I53" i="23" s="1"/>
  <c r="I49" i="38"/>
  <c r="B55" i="27"/>
  <c r="D53" i="29"/>
  <c r="E53" i="29" s="1"/>
  <c r="F53" i="29" s="1"/>
  <c r="B51" i="35"/>
  <c r="I54" i="26"/>
  <c r="D61" i="19"/>
  <c r="E61" i="19" s="1"/>
  <c r="F61" i="19" s="1"/>
  <c r="F54" i="22"/>
  <c r="H54" i="22" s="1"/>
  <c r="B54" i="22"/>
  <c r="G52" i="29"/>
  <c r="H52" i="29"/>
  <c r="D51" i="34"/>
  <c r="E51" i="34" s="1"/>
  <c r="F51" i="34" s="1"/>
  <c r="D61" i="4"/>
  <c r="E61" i="4" s="1"/>
  <c r="F61" i="4" s="1"/>
  <c r="D60" i="18"/>
  <c r="E60" i="18" s="1"/>
  <c r="E58" i="21"/>
  <c r="F58" i="21" s="1"/>
  <c r="G58" i="21" s="1"/>
  <c r="B58" i="21"/>
  <c r="B55" i="25"/>
  <c r="G55" i="25"/>
  <c r="H55" i="25"/>
  <c r="D56" i="26"/>
  <c r="F45" i="40"/>
  <c r="G45" i="40" s="1"/>
  <c r="B45" i="40"/>
  <c r="B50" i="34"/>
  <c r="H50" i="34"/>
  <c r="G50" i="34"/>
  <c r="B50" i="38"/>
  <c r="F45" i="41"/>
  <c r="B45" i="41"/>
  <c r="B50" i="37"/>
  <c r="I54" i="25"/>
  <c r="D56" i="25"/>
  <c r="E56" i="25" s="1"/>
  <c r="F56" i="25" s="1"/>
  <c r="E62" i="3"/>
  <c r="F62" i="3" s="1"/>
  <c r="B62" i="3"/>
  <c r="B60" i="19"/>
  <c r="H60" i="19"/>
  <c r="G60" i="19"/>
  <c r="H55" i="24"/>
  <c r="I55" i="24" s="1"/>
  <c r="D56" i="24"/>
  <c r="D51" i="31"/>
  <c r="E51" i="31" s="1"/>
  <c r="E55" i="27"/>
  <c r="F55" i="27" s="1"/>
  <c r="G55" i="27" s="1"/>
  <c r="F50" i="38"/>
  <c r="G50" i="38" s="1"/>
  <c r="B45" i="42"/>
  <c r="F45" i="42"/>
  <c r="G45" i="42"/>
  <c r="H64" i="28"/>
  <c r="I64" i="28" s="1"/>
  <c r="D65" i="28"/>
  <c r="E65" i="28" s="1"/>
  <c r="B59" i="18"/>
  <c r="G59" i="18"/>
  <c r="H59" i="18"/>
  <c r="H50" i="31"/>
  <c r="I50" i="31" s="1"/>
  <c r="I49" i="34"/>
  <c r="D54" i="23"/>
  <c r="E54" i="23" s="1"/>
  <c r="F54" i="23" s="1"/>
  <c r="B55" i="26"/>
  <c r="G55" i="26"/>
  <c r="H55" i="26"/>
  <c r="I49" i="37"/>
  <c r="F47" i="39"/>
  <c r="B47" i="39"/>
  <c r="E51" i="35"/>
  <c r="F51" i="35" s="1"/>
  <c r="H51" i="35" s="1"/>
  <c r="F50" i="37"/>
  <c r="G60" i="4"/>
  <c r="I60" i="4" s="1"/>
  <c r="I55" i="25" l="1"/>
  <c r="H58" i="21"/>
  <c r="I58" i="21" s="1"/>
  <c r="G54" i="22"/>
  <c r="I54" i="22" s="1"/>
  <c r="I59" i="18"/>
  <c r="I52" i="29"/>
  <c r="I50" i="34"/>
  <c r="H45" i="40"/>
  <c r="I45" i="40" s="1"/>
  <c r="D46" i="40"/>
  <c r="E46" i="40"/>
  <c r="D62" i="4"/>
  <c r="E62" i="4"/>
  <c r="F62" i="4" s="1"/>
  <c r="G53" i="29"/>
  <c r="D54" i="29"/>
  <c r="H50" i="37"/>
  <c r="D51" i="37"/>
  <c r="E51" i="37"/>
  <c r="D56" i="27"/>
  <c r="E56" i="27" s="1"/>
  <c r="B56" i="24"/>
  <c r="D63" i="3"/>
  <c r="E63" i="3" s="1"/>
  <c r="F63" i="3" s="1"/>
  <c r="B56" i="26"/>
  <c r="H51" i="34"/>
  <c r="D52" i="34"/>
  <c r="E52" i="34" s="1"/>
  <c r="F52" i="34" s="1"/>
  <c r="D62" i="19"/>
  <c r="D52" i="35"/>
  <c r="E52" i="35" s="1"/>
  <c r="F52" i="35" s="1"/>
  <c r="D48" i="39"/>
  <c r="E48" i="39"/>
  <c r="H45" i="42"/>
  <c r="I45" i="42" s="1"/>
  <c r="D46" i="42"/>
  <c r="E46" i="42"/>
  <c r="H62" i="3"/>
  <c r="G56" i="25"/>
  <c r="D57" i="25"/>
  <c r="G50" i="37"/>
  <c r="H45" i="41"/>
  <c r="D46" i="41"/>
  <c r="E46" i="41"/>
  <c r="F60" i="18"/>
  <c r="B60" i="18"/>
  <c r="H60" i="18"/>
  <c r="B51" i="34"/>
  <c r="G51" i="34"/>
  <c r="I51" i="34" s="1"/>
  <c r="B61" i="19"/>
  <c r="H61" i="19"/>
  <c r="G61" i="19"/>
  <c r="H55" i="27"/>
  <c r="I55" i="27" s="1"/>
  <c r="H47" i="39"/>
  <c r="D55" i="23"/>
  <c r="F65" i="28"/>
  <c r="H65" i="28" s="1"/>
  <c r="B65" i="28"/>
  <c r="B51" i="31"/>
  <c r="F51" i="31"/>
  <c r="B56" i="25"/>
  <c r="H56" i="25"/>
  <c r="G47" i="39"/>
  <c r="I55" i="26"/>
  <c r="B54" i="23"/>
  <c r="G54" i="23"/>
  <c r="H54" i="23"/>
  <c r="I54" i="23" s="1"/>
  <c r="D51" i="38"/>
  <c r="E51" i="38" s="1"/>
  <c r="F51" i="38" s="1"/>
  <c r="E56" i="24"/>
  <c r="F56" i="24" s="1"/>
  <c r="D57" i="24" s="1"/>
  <c r="I60" i="19"/>
  <c r="G62" i="3"/>
  <c r="G45" i="41"/>
  <c r="H50" i="38"/>
  <c r="I50" i="38" s="1"/>
  <c r="E56" i="26"/>
  <c r="F56" i="26" s="1"/>
  <c r="D59" i="21"/>
  <c r="E59" i="21" s="1"/>
  <c r="F59" i="21" s="1"/>
  <c r="B61" i="4"/>
  <c r="G61" i="4"/>
  <c r="H61" i="4"/>
  <c r="D55" i="22"/>
  <c r="E55" i="22" s="1"/>
  <c r="F55" i="22" s="1"/>
  <c r="G51" i="35"/>
  <c r="I51" i="35" s="1"/>
  <c r="H53" i="29"/>
  <c r="I50" i="37" l="1"/>
  <c r="I61" i="19"/>
  <c r="I56" i="25"/>
  <c r="I45" i="41"/>
  <c r="D52" i="31"/>
  <c r="E52" i="31" s="1"/>
  <c r="F52" i="31" s="1"/>
  <c r="B46" i="41"/>
  <c r="F46" i="41"/>
  <c r="G46" i="41" s="1"/>
  <c r="F46" i="42"/>
  <c r="H46" i="42" s="1"/>
  <c r="B46" i="42"/>
  <c r="H52" i="35"/>
  <c r="D53" i="35"/>
  <c r="H63" i="3"/>
  <c r="D64" i="3"/>
  <c r="E64" i="3" s="1"/>
  <c r="F64" i="3" s="1"/>
  <c r="E57" i="24"/>
  <c r="F57" i="24" s="1"/>
  <c r="D58" i="24" s="1"/>
  <c r="B57" i="24"/>
  <c r="G57" i="24"/>
  <c r="I47" i="39"/>
  <c r="B63" i="3"/>
  <c r="G63" i="3"/>
  <c r="B51" i="37"/>
  <c r="F51" i="37"/>
  <c r="H51" i="37" s="1"/>
  <c r="B55" i="22"/>
  <c r="H55" i="22"/>
  <c r="G55" i="22"/>
  <c r="H51" i="38"/>
  <c r="D52" i="38"/>
  <c r="E52" i="38"/>
  <c r="F52" i="38" s="1"/>
  <c r="G51" i="31"/>
  <c r="D66" i="28"/>
  <c r="E66" i="28" s="1"/>
  <c r="F66" i="28" s="1"/>
  <c r="G60" i="18"/>
  <c r="I60" i="18" s="1"/>
  <c r="D61" i="18"/>
  <c r="I62" i="3"/>
  <c r="B52" i="34"/>
  <c r="H52" i="34"/>
  <c r="G52" i="34"/>
  <c r="H56" i="24"/>
  <c r="B56" i="27"/>
  <c r="F56" i="27"/>
  <c r="D63" i="4"/>
  <c r="E63" i="4" s="1"/>
  <c r="D57" i="26"/>
  <c r="B55" i="23"/>
  <c r="B57" i="25"/>
  <c r="B62" i="19"/>
  <c r="H56" i="26"/>
  <c r="D56" i="22"/>
  <c r="B52" i="35"/>
  <c r="G52" i="35"/>
  <c r="D53" i="34"/>
  <c r="G56" i="26"/>
  <c r="F46" i="40"/>
  <c r="H46" i="40" s="1"/>
  <c r="B46" i="40"/>
  <c r="D60" i="21"/>
  <c r="E60" i="21" s="1"/>
  <c r="F60" i="21" s="1"/>
  <c r="I53" i="29"/>
  <c r="I61" i="4"/>
  <c r="B59" i="21"/>
  <c r="H59" i="21"/>
  <c r="G59" i="21"/>
  <c r="B51" i="38"/>
  <c r="G51" i="38"/>
  <c r="I51" i="38" s="1"/>
  <c r="H51" i="31"/>
  <c r="G65" i="28"/>
  <c r="I65" i="28" s="1"/>
  <c r="E55" i="23"/>
  <c r="F55" i="23" s="1"/>
  <c r="E57" i="25"/>
  <c r="F57" i="25" s="1"/>
  <c r="H57" i="25" s="1"/>
  <c r="B48" i="39"/>
  <c r="F48" i="39"/>
  <c r="H48" i="39" s="1"/>
  <c r="E62" i="19"/>
  <c r="F62" i="19" s="1"/>
  <c r="H62" i="19" s="1"/>
  <c r="G56" i="24"/>
  <c r="E54" i="29"/>
  <c r="F54" i="29" s="1"/>
  <c r="G54" i="29" s="1"/>
  <c r="B62" i="4"/>
  <c r="G62" i="4"/>
  <c r="H62" i="4"/>
  <c r="I63" i="3" l="1"/>
  <c r="I51" i="31"/>
  <c r="I52" i="34"/>
  <c r="I55" i="22"/>
  <c r="I62" i="4"/>
  <c r="H57" i="24"/>
  <c r="I57" i="24"/>
  <c r="H54" i="29"/>
  <c r="I54" i="29" s="1"/>
  <c r="I52" i="35"/>
  <c r="D56" i="23"/>
  <c r="E56" i="23" s="1"/>
  <c r="F56" i="23" s="1"/>
  <c r="H55" i="23"/>
  <c r="G55" i="23"/>
  <c r="B53" i="34"/>
  <c r="B57" i="26"/>
  <c r="G52" i="38"/>
  <c r="D53" i="38"/>
  <c r="G64" i="3"/>
  <c r="D65" i="3"/>
  <c r="E65" i="3" s="1"/>
  <c r="F65" i="3" s="1"/>
  <c r="D63" i="19"/>
  <c r="E63" i="19" s="1"/>
  <c r="F63" i="19" s="1"/>
  <c r="B60" i="21"/>
  <c r="G60" i="21"/>
  <c r="H60" i="21"/>
  <c r="G62" i="19"/>
  <c r="I62" i="19" s="1"/>
  <c r="B52" i="38"/>
  <c r="H52" i="38"/>
  <c r="B64" i="3"/>
  <c r="H64" i="3"/>
  <c r="G46" i="42"/>
  <c r="I46" i="42" s="1"/>
  <c r="F63" i="4"/>
  <c r="H63" i="4" s="1"/>
  <c r="B63" i="4"/>
  <c r="I56" i="24"/>
  <c r="B66" i="28"/>
  <c r="H66" i="28"/>
  <c r="D53" i="31"/>
  <c r="E53" i="31" s="1"/>
  <c r="F53" i="31" s="1"/>
  <c r="D61" i="21"/>
  <c r="E61" i="21" s="1"/>
  <c r="F61" i="21" s="1"/>
  <c r="B56" i="22"/>
  <c r="H56" i="27"/>
  <c r="D57" i="27"/>
  <c r="E57" i="27" s="1"/>
  <c r="F57" i="27" s="1"/>
  <c r="B53" i="35"/>
  <c r="D47" i="42"/>
  <c r="E47" i="42"/>
  <c r="D58" i="25"/>
  <c r="E58" i="25" s="1"/>
  <c r="F58" i="25" s="1"/>
  <c r="D47" i="40"/>
  <c r="E47" i="40"/>
  <c r="G66" i="28"/>
  <c r="D67" i="28"/>
  <c r="E67" i="28" s="1"/>
  <c r="F67" i="28" s="1"/>
  <c r="D55" i="29"/>
  <c r="E55" i="29" s="1"/>
  <c r="F55" i="29" s="1"/>
  <c r="G48" i="39"/>
  <c r="I48" i="39" s="1"/>
  <c r="D49" i="39"/>
  <c r="E49" i="39"/>
  <c r="I59" i="21"/>
  <c r="G46" i="40"/>
  <c r="I46" i="40" s="1"/>
  <c r="E53" i="34"/>
  <c r="F53" i="34" s="1"/>
  <c r="G53" i="34" s="1"/>
  <c r="E56" i="22"/>
  <c r="F56" i="22" s="1"/>
  <c r="H56" i="22" s="1"/>
  <c r="I56" i="26"/>
  <c r="G57" i="25"/>
  <c r="I57" i="25" s="1"/>
  <c r="E57" i="26"/>
  <c r="F57" i="26" s="1"/>
  <c r="H57" i="26" s="1"/>
  <c r="G56" i="27"/>
  <c r="E61" i="18"/>
  <c r="F61" i="18" s="1"/>
  <c r="B61" i="18"/>
  <c r="G51" i="37"/>
  <c r="I51" i="37" s="1"/>
  <c r="D52" i="37"/>
  <c r="E58" i="24"/>
  <c r="F58" i="24" s="1"/>
  <c r="D59" i="24" s="1"/>
  <c r="B58" i="24"/>
  <c r="E53" i="35"/>
  <c r="F53" i="35" s="1"/>
  <c r="H46" i="41"/>
  <c r="I46" i="41" s="1"/>
  <c r="D47" i="41"/>
  <c r="E47" i="41"/>
  <c r="B52" i="31"/>
  <c r="G52" i="31"/>
  <c r="H52" i="31"/>
  <c r="F49" i="39" l="1"/>
  <c r="I56" i="27"/>
  <c r="I52" i="38"/>
  <c r="H58" i="24"/>
  <c r="I58" i="24" s="1"/>
  <c r="I64" i="3"/>
  <c r="I52" i="31"/>
  <c r="G58" i="24"/>
  <c r="G53" i="35"/>
  <c r="D54" i="35"/>
  <c r="E54" i="35" s="1"/>
  <c r="F54" i="35" s="1"/>
  <c r="H53" i="35"/>
  <c r="D54" i="31"/>
  <c r="E54" i="31"/>
  <c r="F54" i="31" s="1"/>
  <c r="F47" i="41"/>
  <c r="B47" i="41"/>
  <c r="D68" i="28"/>
  <c r="E68" i="28"/>
  <c r="F68" i="28" s="1"/>
  <c r="D69" i="28" s="1"/>
  <c r="D58" i="27"/>
  <c r="E58" i="27" s="1"/>
  <c r="F58" i="27" s="1"/>
  <c r="D66" i="3"/>
  <c r="E66" i="3" s="1"/>
  <c r="D62" i="18"/>
  <c r="E62" i="18" s="1"/>
  <c r="F62" i="18" s="1"/>
  <c r="D56" i="29"/>
  <c r="E56" i="29" s="1"/>
  <c r="F56" i="29" s="1"/>
  <c r="D59" i="25"/>
  <c r="E59" i="25" s="1"/>
  <c r="F59" i="25" s="1"/>
  <c r="B57" i="27"/>
  <c r="H57" i="27"/>
  <c r="G57" i="27"/>
  <c r="B61" i="21"/>
  <c r="H61" i="21"/>
  <c r="G61" i="21"/>
  <c r="B65" i="3"/>
  <c r="G65" i="3"/>
  <c r="H65" i="3"/>
  <c r="I55" i="23"/>
  <c r="F47" i="40"/>
  <c r="H47" i="40" s="1"/>
  <c r="B47" i="40"/>
  <c r="D62" i="21"/>
  <c r="E62" i="21" s="1"/>
  <c r="F62" i="21" s="1"/>
  <c r="D64" i="4"/>
  <c r="E64" i="4" s="1"/>
  <c r="E59" i="24"/>
  <c r="F59" i="24" s="1"/>
  <c r="G59" i="24" s="1"/>
  <c r="B59" i="24"/>
  <c r="H61" i="18"/>
  <c r="D57" i="22"/>
  <c r="E57" i="22" s="1"/>
  <c r="F57" i="22" s="1"/>
  <c r="D50" i="39"/>
  <c r="H55" i="29"/>
  <c r="G55" i="29"/>
  <c r="B58" i="25"/>
  <c r="H58" i="25"/>
  <c r="G58" i="25"/>
  <c r="G56" i="22"/>
  <c r="I56" i="22" s="1"/>
  <c r="I66" i="28"/>
  <c r="G63" i="4"/>
  <c r="I63" i="4" s="1"/>
  <c r="D64" i="19"/>
  <c r="E64" i="19" s="1"/>
  <c r="F64" i="19" s="1"/>
  <c r="D57" i="23"/>
  <c r="B52" i="37"/>
  <c r="F47" i="42"/>
  <c r="G47" i="42" s="1"/>
  <c r="B47" i="42"/>
  <c r="B53" i="38"/>
  <c r="B67" i="28"/>
  <c r="G67" i="28"/>
  <c r="H67" i="28"/>
  <c r="E52" i="37"/>
  <c r="F52" i="37" s="1"/>
  <c r="G61" i="18"/>
  <c r="D58" i="26"/>
  <c r="E58" i="26" s="1"/>
  <c r="H53" i="34"/>
  <c r="I53" i="34" s="1"/>
  <c r="D54" i="34"/>
  <c r="E54" i="34" s="1"/>
  <c r="B49" i="39"/>
  <c r="G49" i="39"/>
  <c r="H49" i="39"/>
  <c r="B53" i="31"/>
  <c r="G53" i="31"/>
  <c r="H53" i="31"/>
  <c r="I60" i="21"/>
  <c r="B63" i="19"/>
  <c r="H63" i="19"/>
  <c r="G63" i="19"/>
  <c r="E53" i="38"/>
  <c r="F53" i="38" s="1"/>
  <c r="G53" i="38" s="1"/>
  <c r="G57" i="26"/>
  <c r="I57" i="26" s="1"/>
  <c r="B56" i="23"/>
  <c r="G56" i="23"/>
  <c r="H56" i="23"/>
  <c r="I65" i="3" l="1"/>
  <c r="I57" i="27"/>
  <c r="I61" i="21"/>
  <c r="H47" i="42"/>
  <c r="I47" i="42" s="1"/>
  <c r="I53" i="31"/>
  <c r="I49" i="39"/>
  <c r="H59" i="24"/>
  <c r="I67" i="28"/>
  <c r="H53" i="38"/>
  <c r="I53" i="38" s="1"/>
  <c r="I55" i="29"/>
  <c r="D53" i="37"/>
  <c r="E53" i="37"/>
  <c r="F53" i="37" s="1"/>
  <c r="H52" i="37"/>
  <c r="B50" i="39"/>
  <c r="E69" i="28"/>
  <c r="F69" i="28" s="1"/>
  <c r="G69" i="28" s="1"/>
  <c r="B69" i="28"/>
  <c r="G47" i="41"/>
  <c r="D48" i="41"/>
  <c r="E48" i="41"/>
  <c r="I63" i="19"/>
  <c r="G52" i="37"/>
  <c r="F64" i="4"/>
  <c r="H64" i="4" s="1"/>
  <c r="B64" i="4"/>
  <c r="B66" i="3"/>
  <c r="F66" i="3"/>
  <c r="D67" i="3" s="1"/>
  <c r="B54" i="35"/>
  <c r="G54" i="35"/>
  <c r="H54" i="35"/>
  <c r="B58" i="26"/>
  <c r="F58" i="26"/>
  <c r="H58" i="26" s="1"/>
  <c r="B64" i="19"/>
  <c r="G64" i="19"/>
  <c r="H64" i="19"/>
  <c r="B57" i="22"/>
  <c r="G57" i="22"/>
  <c r="H57" i="22"/>
  <c r="D63" i="21"/>
  <c r="E63" i="21" s="1"/>
  <c r="F63" i="21" s="1"/>
  <c r="G47" i="40"/>
  <c r="I47" i="40" s="1"/>
  <c r="D48" i="40"/>
  <c r="E48" i="40"/>
  <c r="D60" i="25"/>
  <c r="E60" i="25" s="1"/>
  <c r="F60" i="25" s="1"/>
  <c r="D63" i="18"/>
  <c r="E63" i="18" s="1"/>
  <c r="G58" i="27"/>
  <c r="D59" i="27"/>
  <c r="H47" i="41"/>
  <c r="B54" i="31"/>
  <c r="H54" i="31"/>
  <c r="G54" i="31"/>
  <c r="B57" i="23"/>
  <c r="D57" i="29"/>
  <c r="E57" i="29" s="1"/>
  <c r="F57" i="29" s="1"/>
  <c r="D55" i="35"/>
  <c r="E55" i="35" s="1"/>
  <c r="F55" i="35" s="1"/>
  <c r="D65" i="19"/>
  <c r="E65" i="19" s="1"/>
  <c r="F65" i="19" s="1"/>
  <c r="D58" i="22"/>
  <c r="I59" i="24"/>
  <c r="G56" i="29"/>
  <c r="H56" i="29"/>
  <c r="B68" i="28"/>
  <c r="H68" i="28"/>
  <c r="G68" i="28"/>
  <c r="D55" i="31"/>
  <c r="I56" i="23"/>
  <c r="D54" i="38"/>
  <c r="E54" i="38" s="1"/>
  <c r="F54" i="34"/>
  <c r="G54" i="34" s="1"/>
  <c r="B54" i="34"/>
  <c r="D48" i="42"/>
  <c r="E48" i="42"/>
  <c r="E57" i="23"/>
  <c r="F57" i="23" s="1"/>
  <c r="D58" i="23" s="1"/>
  <c r="I58" i="25"/>
  <c r="E50" i="39"/>
  <c r="F50" i="39" s="1"/>
  <c r="G50" i="39" s="1"/>
  <c r="I61" i="18"/>
  <c r="D60" i="24"/>
  <c r="E60" i="24" s="1"/>
  <c r="F60" i="24" s="1"/>
  <c r="B62" i="21"/>
  <c r="H62" i="21"/>
  <c r="G62" i="21"/>
  <c r="B59" i="25"/>
  <c r="H59" i="25"/>
  <c r="G59" i="25"/>
  <c r="B62" i="18"/>
  <c r="H62" i="18"/>
  <c r="G62" i="18"/>
  <c r="B58" i="27"/>
  <c r="H58" i="27"/>
  <c r="I58" i="27" s="1"/>
  <c r="I53" i="35"/>
  <c r="G66" i="3" l="1"/>
  <c r="H66" i="3"/>
  <c r="I56" i="29"/>
  <c r="I59" i="25"/>
  <c r="I54" i="35"/>
  <c r="I62" i="18"/>
  <c r="H54" i="34"/>
  <c r="I54" i="34" s="1"/>
  <c r="I54" i="31"/>
  <c r="G58" i="26"/>
  <c r="I58" i="26" s="1"/>
  <c r="G64" i="4"/>
  <c r="I64" i="4" s="1"/>
  <c r="H57" i="23"/>
  <c r="I64" i="19"/>
  <c r="B55" i="31"/>
  <c r="D56" i="35"/>
  <c r="B59" i="27"/>
  <c r="E58" i="23"/>
  <c r="F58" i="23" s="1"/>
  <c r="B58" i="23"/>
  <c r="D66" i="19"/>
  <c r="E66" i="19"/>
  <c r="F66" i="19" s="1"/>
  <c r="G57" i="23"/>
  <c r="D64" i="21"/>
  <c r="I66" i="3"/>
  <c r="I52" i="37"/>
  <c r="I62" i="21"/>
  <c r="I68" i="28"/>
  <c r="B65" i="19"/>
  <c r="G65" i="19"/>
  <c r="H65" i="19"/>
  <c r="D58" i="29"/>
  <c r="E58" i="29"/>
  <c r="F58" i="29" s="1"/>
  <c r="I47" i="41"/>
  <c r="B63" i="21"/>
  <c r="H63" i="21"/>
  <c r="G63" i="21"/>
  <c r="E67" i="3"/>
  <c r="F67" i="3" s="1"/>
  <c r="B67" i="3"/>
  <c r="H53" i="37"/>
  <c r="D54" i="37"/>
  <c r="E54" i="37" s="1"/>
  <c r="F54" i="37" s="1"/>
  <c r="H60" i="24"/>
  <c r="D61" i="24"/>
  <c r="B58" i="22"/>
  <c r="D61" i="25"/>
  <c r="E61" i="25" s="1"/>
  <c r="F61" i="25" s="1"/>
  <c r="D70" i="28"/>
  <c r="E70" i="28" s="1"/>
  <c r="F70" i="28" s="1"/>
  <c r="G60" i="24"/>
  <c r="B60" i="24"/>
  <c r="B54" i="38"/>
  <c r="F54" i="38"/>
  <c r="B55" i="35"/>
  <c r="G55" i="35"/>
  <c r="H55" i="35"/>
  <c r="I55" i="35" s="1"/>
  <c r="B60" i="25"/>
  <c r="G60" i="25"/>
  <c r="H60" i="25"/>
  <c r="H69" i="28"/>
  <c r="I69" i="28" s="1"/>
  <c r="D51" i="39"/>
  <c r="E51" i="39" s="1"/>
  <c r="F51" i="39" s="1"/>
  <c r="D52" i="39" s="1"/>
  <c r="F48" i="42"/>
  <c r="B48" i="42"/>
  <c r="D55" i="34"/>
  <c r="E55" i="34" s="1"/>
  <c r="E55" i="31"/>
  <c r="F55" i="31" s="1"/>
  <c r="H55" i="31" s="1"/>
  <c r="E58" i="22"/>
  <c r="F58" i="22" s="1"/>
  <c r="G58" i="22" s="1"/>
  <c r="G57" i="29"/>
  <c r="H57" i="29"/>
  <c r="E59" i="27"/>
  <c r="F59" i="27" s="1"/>
  <c r="H59" i="27" s="1"/>
  <c r="B63" i="18"/>
  <c r="F63" i="18"/>
  <c r="H63" i="18" s="1"/>
  <c r="F48" i="40"/>
  <c r="G48" i="40" s="1"/>
  <c r="B48" i="40"/>
  <c r="I57" i="22"/>
  <c r="D59" i="26"/>
  <c r="E59" i="26" s="1"/>
  <c r="F59" i="26" s="1"/>
  <c r="D65" i="4"/>
  <c r="E65" i="4"/>
  <c r="F65" i="4" s="1"/>
  <c r="B48" i="41"/>
  <c r="F48" i="41"/>
  <c r="G48" i="41" s="1"/>
  <c r="H50" i="39"/>
  <c r="I50" i="39" s="1"/>
  <c r="B53" i="37"/>
  <c r="G53" i="37"/>
  <c r="H58" i="22" l="1"/>
  <c r="I57" i="29"/>
  <c r="I60" i="25"/>
  <c r="I57" i="23"/>
  <c r="H48" i="41"/>
  <c r="I48" i="41" s="1"/>
  <c r="I60" i="24"/>
  <c r="I65" i="19"/>
  <c r="D60" i="26"/>
  <c r="E60" i="26" s="1"/>
  <c r="F60" i="26" s="1"/>
  <c r="G54" i="37"/>
  <c r="D55" i="37"/>
  <c r="E52" i="39"/>
  <c r="F52" i="39" s="1"/>
  <c r="G52" i="39" s="1"/>
  <c r="B52" i="39"/>
  <c r="D62" i="25"/>
  <c r="E62" i="25" s="1"/>
  <c r="E61" i="24"/>
  <c r="F61" i="24" s="1"/>
  <c r="D62" i="24" s="1"/>
  <c r="G61" i="24"/>
  <c r="B61" i="24"/>
  <c r="D68" i="3"/>
  <c r="E68" i="3" s="1"/>
  <c r="F68" i="3" s="1"/>
  <c r="B64" i="21"/>
  <c r="D59" i="23"/>
  <c r="E59" i="23" s="1"/>
  <c r="F59" i="23" s="1"/>
  <c r="B65" i="4"/>
  <c r="G65" i="4"/>
  <c r="H65" i="4"/>
  <c r="I65" i="4" s="1"/>
  <c r="G48" i="42"/>
  <c r="D49" i="42"/>
  <c r="E49" i="42"/>
  <c r="I58" i="22"/>
  <c r="H58" i="23"/>
  <c r="G55" i="31"/>
  <c r="I55" i="31" s="1"/>
  <c r="D49" i="41"/>
  <c r="E49" i="41"/>
  <c r="G63" i="18"/>
  <c r="I63" i="18" s="1"/>
  <c r="D64" i="18"/>
  <c r="F55" i="34"/>
  <c r="H55" i="34" s="1"/>
  <c r="B55" i="34"/>
  <c r="H67" i="3"/>
  <c r="H58" i="29"/>
  <c r="D59" i="29"/>
  <c r="E59" i="29" s="1"/>
  <c r="F59" i="29" s="1"/>
  <c r="D67" i="19"/>
  <c r="E67" i="19" s="1"/>
  <c r="F67" i="19" s="1"/>
  <c r="D66" i="4"/>
  <c r="E66" i="4" s="1"/>
  <c r="F66" i="4" s="1"/>
  <c r="D49" i="40"/>
  <c r="E49" i="40"/>
  <c r="G59" i="27"/>
  <c r="I59" i="27" s="1"/>
  <c r="D60" i="27"/>
  <c r="D56" i="31"/>
  <c r="E56" i="31" s="1"/>
  <c r="G54" i="38"/>
  <c r="D55" i="38"/>
  <c r="E55" i="38" s="1"/>
  <c r="F55" i="38" s="1"/>
  <c r="G70" i="28"/>
  <c r="D71" i="28"/>
  <c r="B56" i="35"/>
  <c r="I53" i="37"/>
  <c r="B70" i="28"/>
  <c r="H70" i="28"/>
  <c r="B59" i="26"/>
  <c r="H59" i="26"/>
  <c r="G59" i="26"/>
  <c r="H48" i="40"/>
  <c r="I48" i="40" s="1"/>
  <c r="D59" i="22"/>
  <c r="E59" i="22" s="1"/>
  <c r="F59" i="22" s="1"/>
  <c r="H48" i="42"/>
  <c r="B51" i="39"/>
  <c r="G51" i="39"/>
  <c r="H51" i="39"/>
  <c r="H54" i="38"/>
  <c r="B61" i="25"/>
  <c r="G61" i="25"/>
  <c r="H61" i="25"/>
  <c r="B54" i="37"/>
  <c r="H54" i="37"/>
  <c r="I54" i="37" s="1"/>
  <c r="G67" i="3"/>
  <c r="I63" i="21"/>
  <c r="G58" i="29"/>
  <c r="E64" i="21"/>
  <c r="F64" i="21" s="1"/>
  <c r="B66" i="19"/>
  <c r="H66" i="19"/>
  <c r="G66" i="19"/>
  <c r="G58" i="23"/>
  <c r="E56" i="35"/>
  <c r="F56" i="35" s="1"/>
  <c r="G56" i="35" s="1"/>
  <c r="F49" i="40" l="1"/>
  <c r="D50" i="40" s="1"/>
  <c r="I48" i="42"/>
  <c r="I61" i="25"/>
  <c r="I51" i="39"/>
  <c r="I70" i="28"/>
  <c r="H56" i="35"/>
  <c r="I66" i="19"/>
  <c r="I58" i="29"/>
  <c r="B71" i="28"/>
  <c r="G59" i="29"/>
  <c r="D60" i="29"/>
  <c r="E60" i="29" s="1"/>
  <c r="F60" i="29" s="1"/>
  <c r="B64" i="18"/>
  <c r="B55" i="37"/>
  <c r="I56" i="35"/>
  <c r="H59" i="29"/>
  <c r="D60" i="23"/>
  <c r="E60" i="23" s="1"/>
  <c r="F60" i="23" s="1"/>
  <c r="I59" i="26"/>
  <c r="D56" i="38"/>
  <c r="E56" i="38" s="1"/>
  <c r="F56" i="38" s="1"/>
  <c r="F56" i="31"/>
  <c r="B56" i="31"/>
  <c r="E50" i="40"/>
  <c r="F50" i="40" s="1"/>
  <c r="D51" i="40" s="1"/>
  <c r="B50" i="40"/>
  <c r="D68" i="19"/>
  <c r="G55" i="34"/>
  <c r="I55" i="34" s="1"/>
  <c r="D56" i="34"/>
  <c r="E56" i="34" s="1"/>
  <c r="B59" i="23"/>
  <c r="G59" i="23"/>
  <c r="H59" i="23"/>
  <c r="B68" i="3"/>
  <c r="H68" i="3"/>
  <c r="G68" i="3"/>
  <c r="E62" i="24"/>
  <c r="F62" i="24" s="1"/>
  <c r="G62" i="24" s="1"/>
  <c r="B62" i="24"/>
  <c r="B62" i="25"/>
  <c r="F62" i="25"/>
  <c r="D53" i="39"/>
  <c r="E53" i="39" s="1"/>
  <c r="F53" i="39" s="1"/>
  <c r="D61" i="26"/>
  <c r="E61" i="26" s="1"/>
  <c r="F61" i="26" s="1"/>
  <c r="H64" i="21"/>
  <c r="D65" i="21"/>
  <c r="B60" i="27"/>
  <c r="D67" i="4"/>
  <c r="E67" i="4" s="1"/>
  <c r="F67" i="4" s="1"/>
  <c r="F49" i="42"/>
  <c r="B49" i="42"/>
  <c r="I54" i="38"/>
  <c r="B66" i="4"/>
  <c r="G66" i="4"/>
  <c r="H66" i="4"/>
  <c r="I58" i="23"/>
  <c r="D69" i="3"/>
  <c r="D60" i="22"/>
  <c r="E60" i="22" s="1"/>
  <c r="F60" i="22" s="1"/>
  <c r="D57" i="35"/>
  <c r="B59" i="22"/>
  <c r="G59" i="22"/>
  <c r="H59" i="22"/>
  <c r="E71" i="28"/>
  <c r="F71" i="28" s="1"/>
  <c r="H71" i="28" s="1"/>
  <c r="B55" i="38"/>
  <c r="G55" i="38"/>
  <c r="H55" i="38"/>
  <c r="E60" i="27"/>
  <c r="F60" i="27" s="1"/>
  <c r="G60" i="27" s="1"/>
  <c r="B49" i="40"/>
  <c r="G49" i="40"/>
  <c r="H49" i="40"/>
  <c r="B67" i="19"/>
  <c r="G67" i="19"/>
  <c r="H67" i="19"/>
  <c r="I67" i="3"/>
  <c r="E64" i="18"/>
  <c r="F64" i="18" s="1"/>
  <c r="G64" i="18" s="1"/>
  <c r="F49" i="41"/>
  <c r="G49" i="41" s="1"/>
  <c r="B49" i="41"/>
  <c r="G64" i="21"/>
  <c r="H61" i="24"/>
  <c r="I61" i="24" s="1"/>
  <c r="H52" i="39"/>
  <c r="I52" i="39" s="1"/>
  <c r="E55" i="37"/>
  <c r="F55" i="37" s="1"/>
  <c r="B60" i="26"/>
  <c r="G60" i="26"/>
  <c r="H60" i="26"/>
  <c r="I49" i="40" l="1"/>
  <c r="I55" i="38"/>
  <c r="I59" i="22"/>
  <c r="I66" i="4"/>
  <c r="I60" i="26"/>
  <c r="I67" i="19"/>
  <c r="I59" i="23"/>
  <c r="H60" i="27"/>
  <c r="I60" i="27" s="1"/>
  <c r="H67" i="4"/>
  <c r="D68" i="4"/>
  <c r="D56" i="37"/>
  <c r="B57" i="35"/>
  <c r="B69" i="3"/>
  <c r="D61" i="22"/>
  <c r="E61" i="22" s="1"/>
  <c r="F61" i="22" s="1"/>
  <c r="D50" i="42"/>
  <c r="E50" i="42"/>
  <c r="B65" i="21"/>
  <c r="D54" i="39"/>
  <c r="E54" i="39" s="1"/>
  <c r="F54" i="39" s="1"/>
  <c r="D63" i="25"/>
  <c r="E63" i="25"/>
  <c r="F63" i="25" s="1"/>
  <c r="B68" i="19"/>
  <c r="E51" i="40"/>
  <c r="F51" i="40" s="1"/>
  <c r="B51" i="40"/>
  <c r="D57" i="31"/>
  <c r="E57" i="31" s="1"/>
  <c r="F57" i="31" s="1"/>
  <c r="G60" i="23"/>
  <c r="D61" i="23"/>
  <c r="G55" i="37"/>
  <c r="H49" i="41"/>
  <c r="I49" i="41" s="1"/>
  <c r="D50" i="41"/>
  <c r="B60" i="22"/>
  <c r="G60" i="22"/>
  <c r="H60" i="22"/>
  <c r="H49" i="42"/>
  <c r="B53" i="39"/>
  <c r="G53" i="39"/>
  <c r="H53" i="39"/>
  <c r="D63" i="24"/>
  <c r="E63" i="24" s="1"/>
  <c r="F63" i="24" s="1"/>
  <c r="D64" i="24" s="1"/>
  <c r="B56" i="34"/>
  <c r="F56" i="34"/>
  <c r="H50" i="40"/>
  <c r="G56" i="31"/>
  <c r="D57" i="38"/>
  <c r="E57" i="38" s="1"/>
  <c r="F57" i="38" s="1"/>
  <c r="B60" i="23"/>
  <c r="H60" i="23"/>
  <c r="I60" i="23" s="1"/>
  <c r="H55" i="37"/>
  <c r="I64" i="21"/>
  <c r="D65" i="18"/>
  <c r="D61" i="27"/>
  <c r="E61" i="27" s="1"/>
  <c r="F61" i="27" s="1"/>
  <c r="D72" i="28"/>
  <c r="E57" i="35"/>
  <c r="F57" i="35" s="1"/>
  <c r="G57" i="35" s="1"/>
  <c r="E69" i="3"/>
  <c r="F69" i="3" s="1"/>
  <c r="G49" i="42"/>
  <c r="D62" i="26"/>
  <c r="E62" i="26"/>
  <c r="F62" i="26" s="1"/>
  <c r="G62" i="25"/>
  <c r="H62" i="24"/>
  <c r="I62" i="24" s="1"/>
  <c r="G50" i="40"/>
  <c r="H56" i="31"/>
  <c r="B56" i="38"/>
  <c r="G56" i="38"/>
  <c r="H56" i="38"/>
  <c r="I59" i="29"/>
  <c r="D61" i="29"/>
  <c r="E61" i="29" s="1"/>
  <c r="F61" i="29" s="1"/>
  <c r="G71" i="28"/>
  <c r="I71" i="28" s="1"/>
  <c r="B67" i="4"/>
  <c r="G67" i="4"/>
  <c r="E65" i="21"/>
  <c r="F65" i="21" s="1"/>
  <c r="B61" i="26"/>
  <c r="H61" i="26"/>
  <c r="G61" i="26"/>
  <c r="H62" i="25"/>
  <c r="I68" i="3"/>
  <c r="E68" i="19"/>
  <c r="F68" i="19" s="1"/>
  <c r="H68" i="19" s="1"/>
  <c r="H64" i="18"/>
  <c r="I64" i="18" s="1"/>
  <c r="H60" i="29"/>
  <c r="G60" i="29"/>
  <c r="I67" i="4" l="1"/>
  <c r="I50" i="40"/>
  <c r="I60" i="29"/>
  <c r="I62" i="25"/>
  <c r="I53" i="39"/>
  <c r="I60" i="22"/>
  <c r="I55" i="37"/>
  <c r="D70" i="3"/>
  <c r="E70" i="3" s="1"/>
  <c r="F70" i="3" s="1"/>
  <c r="G69" i="3"/>
  <c r="H69" i="3"/>
  <c r="D52" i="40"/>
  <c r="E52" i="40" s="1"/>
  <c r="F52" i="40" s="1"/>
  <c r="H51" i="40"/>
  <c r="G51" i="40"/>
  <c r="D66" i="21"/>
  <c r="E66" i="21" s="1"/>
  <c r="B72" i="28"/>
  <c r="D57" i="34"/>
  <c r="E57" i="34" s="1"/>
  <c r="B50" i="41"/>
  <c r="B68" i="4"/>
  <c r="D62" i="29"/>
  <c r="E62" i="29" s="1"/>
  <c r="F62" i="29" s="1"/>
  <c r="B65" i="18"/>
  <c r="B61" i="23"/>
  <c r="D64" i="25"/>
  <c r="E64" i="25" s="1"/>
  <c r="F64" i="25" s="1"/>
  <c r="G65" i="21"/>
  <c r="B50" i="42"/>
  <c r="F50" i="42"/>
  <c r="G50" i="42" s="1"/>
  <c r="B56" i="37"/>
  <c r="G61" i="29"/>
  <c r="H61" i="29"/>
  <c r="D62" i="27"/>
  <c r="E62" i="27" s="1"/>
  <c r="F62" i="27" s="1"/>
  <c r="B63" i="25"/>
  <c r="H63" i="25"/>
  <c r="G63" i="25"/>
  <c r="H65" i="21"/>
  <c r="D62" i="22"/>
  <c r="E68" i="4"/>
  <c r="F68" i="4" s="1"/>
  <c r="G68" i="4" s="1"/>
  <c r="D69" i="19"/>
  <c r="E69" i="19" s="1"/>
  <c r="F69" i="19" s="1"/>
  <c r="I61" i="26"/>
  <c r="I56" i="31"/>
  <c r="D63" i="26"/>
  <c r="E63" i="26" s="1"/>
  <c r="F63" i="26" s="1"/>
  <c r="D58" i="35"/>
  <c r="E58" i="35" s="1"/>
  <c r="F58" i="35" s="1"/>
  <c r="D59" i="35" s="1"/>
  <c r="B61" i="27"/>
  <c r="G61" i="27"/>
  <c r="H61" i="27"/>
  <c r="D58" i="38"/>
  <c r="E58" i="38" s="1"/>
  <c r="F58" i="38" s="1"/>
  <c r="H56" i="34"/>
  <c r="E64" i="24"/>
  <c r="F64" i="24" s="1"/>
  <c r="D65" i="24" s="1"/>
  <c r="H64" i="24"/>
  <c r="B64" i="24"/>
  <c r="D58" i="31"/>
  <c r="E58" i="31"/>
  <c r="F58" i="31" s="1"/>
  <c r="G68" i="19"/>
  <c r="I68" i="19" s="1"/>
  <c r="D55" i="39"/>
  <c r="B61" i="22"/>
  <c r="H61" i="22"/>
  <c r="G61" i="22"/>
  <c r="I56" i="38"/>
  <c r="B62" i="26"/>
  <c r="H62" i="26"/>
  <c r="G62" i="26"/>
  <c r="E72" i="28"/>
  <c r="F72" i="28" s="1"/>
  <c r="E65" i="18"/>
  <c r="F65" i="18" s="1"/>
  <c r="G65" i="18" s="1"/>
  <c r="B57" i="38"/>
  <c r="G57" i="38"/>
  <c r="H57" i="38"/>
  <c r="G56" i="34"/>
  <c r="G63" i="24"/>
  <c r="H63" i="24"/>
  <c r="B63" i="24"/>
  <c r="I49" i="42"/>
  <c r="E50" i="41"/>
  <c r="F50" i="41" s="1"/>
  <c r="D51" i="41" s="1"/>
  <c r="E61" i="23"/>
  <c r="F61" i="23" s="1"/>
  <c r="D62" i="23" s="1"/>
  <c r="B57" i="31"/>
  <c r="G57" i="31"/>
  <c r="H57" i="31"/>
  <c r="I57" i="31" s="1"/>
  <c r="B54" i="39"/>
  <c r="G54" i="39"/>
  <c r="H54" i="39"/>
  <c r="H57" i="35"/>
  <c r="I57" i="35" s="1"/>
  <c r="E56" i="37"/>
  <c r="F56" i="37" s="1"/>
  <c r="G56" i="37" s="1"/>
  <c r="I54" i="39" l="1"/>
  <c r="I61" i="29"/>
  <c r="I51" i="40"/>
  <c r="I69" i="3"/>
  <c r="G64" i="24"/>
  <c r="I64" i="24" s="1"/>
  <c r="I56" i="34"/>
  <c r="I63" i="24"/>
  <c r="I61" i="22"/>
  <c r="E62" i="23"/>
  <c r="F62" i="23" s="1"/>
  <c r="H62" i="23" s="1"/>
  <c r="B62" i="23"/>
  <c r="D64" i="26"/>
  <c r="E64" i="26" s="1"/>
  <c r="F64" i="26" s="1"/>
  <c r="D70" i="19"/>
  <c r="E51" i="41"/>
  <c r="F51" i="41" s="1"/>
  <c r="G51" i="41" s="1"/>
  <c r="B51" i="41"/>
  <c r="D59" i="38"/>
  <c r="E59" i="38" s="1"/>
  <c r="F59" i="38" s="1"/>
  <c r="B63" i="26"/>
  <c r="G63" i="26"/>
  <c r="H63" i="26"/>
  <c r="I63" i="26" s="1"/>
  <c r="I65" i="21"/>
  <c r="D51" i="42"/>
  <c r="G72" i="28"/>
  <c r="D73" i="28"/>
  <c r="E73" i="28" s="1"/>
  <c r="E74" i="28" s="1"/>
  <c r="D59" i="31"/>
  <c r="E59" i="31" s="1"/>
  <c r="F59" i="31" s="1"/>
  <c r="E59" i="35"/>
  <c r="F59" i="35" s="1"/>
  <c r="H59" i="35" s="1"/>
  <c r="B59" i="35"/>
  <c r="D69" i="4"/>
  <c r="D63" i="27"/>
  <c r="E63" i="27" s="1"/>
  <c r="F63" i="27" s="1"/>
  <c r="B64" i="25"/>
  <c r="G64" i="25"/>
  <c r="H64" i="25"/>
  <c r="G62" i="29"/>
  <c r="H62" i="29"/>
  <c r="H50" i="41"/>
  <c r="B57" i="34"/>
  <c r="F57" i="34"/>
  <c r="H57" i="34" s="1"/>
  <c r="D53" i="40"/>
  <c r="E53" i="40" s="1"/>
  <c r="F53" i="40" s="1"/>
  <c r="D71" i="3"/>
  <c r="H56" i="37"/>
  <c r="I56" i="37" s="1"/>
  <c r="D57" i="37"/>
  <c r="B55" i="39"/>
  <c r="B62" i="22"/>
  <c r="G61" i="23"/>
  <c r="I62" i="26"/>
  <c r="B69" i="19"/>
  <c r="H69" i="19"/>
  <c r="G69" i="19"/>
  <c r="D65" i="25"/>
  <c r="E65" i="25" s="1"/>
  <c r="F65" i="25" s="1"/>
  <c r="D63" i="29"/>
  <c r="E63" i="29" s="1"/>
  <c r="F63" i="29" s="1"/>
  <c r="D66" i="18"/>
  <c r="E66" i="18" s="1"/>
  <c r="F66" i="18" s="1"/>
  <c r="B58" i="38"/>
  <c r="G58" i="38"/>
  <c r="H58" i="38"/>
  <c r="I57" i="38"/>
  <c r="E55" i="39"/>
  <c r="F55" i="39" s="1"/>
  <c r="H55" i="39" s="1"/>
  <c r="B58" i="31"/>
  <c r="G58" i="31"/>
  <c r="H58" i="31"/>
  <c r="E65" i="24"/>
  <c r="F65" i="24" s="1"/>
  <c r="D66" i="24" s="1"/>
  <c r="B65" i="24"/>
  <c r="I61" i="27"/>
  <c r="B58" i="35"/>
  <c r="H58" i="35"/>
  <c r="G58" i="35"/>
  <c r="E62" i="22"/>
  <c r="F62" i="22" s="1"/>
  <c r="G62" i="22" s="1"/>
  <c r="I63" i="25"/>
  <c r="B62" i="27"/>
  <c r="H62" i="27"/>
  <c r="G62" i="27"/>
  <c r="H50" i="42"/>
  <c r="I50" i="42" s="1"/>
  <c r="H61" i="23"/>
  <c r="H65" i="18"/>
  <c r="I65" i="18" s="1"/>
  <c r="H68" i="4"/>
  <c r="I68" i="4" s="1"/>
  <c r="G50" i="41"/>
  <c r="H72" i="28"/>
  <c r="I72" i="28" s="1"/>
  <c r="F66" i="21"/>
  <c r="B66" i="21"/>
  <c r="B52" i="40"/>
  <c r="H52" i="40"/>
  <c r="G52" i="40"/>
  <c r="B70" i="3"/>
  <c r="G70" i="3"/>
  <c r="H70" i="3"/>
  <c r="H51" i="41" l="1"/>
  <c r="H65" i="24"/>
  <c r="G65" i="24"/>
  <c r="I65" i="24" s="1"/>
  <c r="I58" i="38"/>
  <c r="I61" i="23"/>
  <c r="I64" i="25"/>
  <c r="I62" i="27"/>
  <c r="I58" i="31"/>
  <c r="I62" i="29"/>
  <c r="D67" i="21"/>
  <c r="E67" i="21" s="1"/>
  <c r="F67" i="21" s="1"/>
  <c r="B71" i="3"/>
  <c r="B51" i="42"/>
  <c r="I58" i="35"/>
  <c r="E57" i="37"/>
  <c r="F57" i="37" s="1"/>
  <c r="H57" i="37" s="1"/>
  <c r="B57" i="37"/>
  <c r="D54" i="40"/>
  <c r="D58" i="34"/>
  <c r="E58" i="34" s="1"/>
  <c r="F58" i="34" s="1"/>
  <c r="D64" i="27"/>
  <c r="F73" i="28"/>
  <c r="H73" i="28" s="1"/>
  <c r="B73" i="28"/>
  <c r="D60" i="38"/>
  <c r="E60" i="38" s="1"/>
  <c r="F60" i="38" s="1"/>
  <c r="I51" i="41"/>
  <c r="G64" i="26"/>
  <c r="D65" i="26"/>
  <c r="E65" i="26" s="1"/>
  <c r="F65" i="26" s="1"/>
  <c r="D66" i="25"/>
  <c r="B69" i="4"/>
  <c r="D60" i="35"/>
  <c r="E60" i="35" s="1"/>
  <c r="B70" i="19"/>
  <c r="G66" i="21"/>
  <c r="B65" i="25"/>
  <c r="H65" i="25"/>
  <c r="G65" i="25"/>
  <c r="H66" i="21"/>
  <c r="I66" i="21" s="1"/>
  <c r="H63" i="29"/>
  <c r="D64" i="29"/>
  <c r="E64" i="29"/>
  <c r="F64" i="29" s="1"/>
  <c r="B53" i="40"/>
  <c r="G53" i="40"/>
  <c r="H53" i="40"/>
  <c r="B63" i="27"/>
  <c r="G63" i="27"/>
  <c r="H63" i="27"/>
  <c r="G59" i="35"/>
  <c r="I59" i="35" s="1"/>
  <c r="D60" i="31"/>
  <c r="E60" i="31" s="1"/>
  <c r="F60" i="31" s="1"/>
  <c r="B59" i="38"/>
  <c r="G59" i="38"/>
  <c r="H59" i="38"/>
  <c r="D52" i="41"/>
  <c r="E52" i="41" s="1"/>
  <c r="F52" i="41" s="1"/>
  <c r="D53" i="41" s="1"/>
  <c r="B64" i="26"/>
  <c r="H64" i="26"/>
  <c r="D63" i="23"/>
  <c r="E63" i="23" s="1"/>
  <c r="F63" i="23" s="1"/>
  <c r="D67" i="18"/>
  <c r="B66" i="18"/>
  <c r="H66" i="18"/>
  <c r="G66" i="18"/>
  <c r="I70" i="3"/>
  <c r="I52" i="40"/>
  <c r="D63" i="22"/>
  <c r="E66" i="24"/>
  <c r="F66" i="24" s="1"/>
  <c r="G66" i="24" s="1"/>
  <c r="B66" i="24"/>
  <c r="D56" i="39"/>
  <c r="E56" i="39" s="1"/>
  <c r="F56" i="39" s="1"/>
  <c r="G63" i="29"/>
  <c r="I63" i="29" s="1"/>
  <c r="I69" i="19"/>
  <c r="H62" i="22"/>
  <c r="I62" i="22" s="1"/>
  <c r="G55" i="39"/>
  <c r="I55" i="39" s="1"/>
  <c r="E71" i="3"/>
  <c r="F71" i="3" s="1"/>
  <c r="G57" i="34"/>
  <c r="I57" i="34" s="1"/>
  <c r="I50" i="41"/>
  <c r="E69" i="4"/>
  <c r="F69" i="4" s="1"/>
  <c r="H69" i="4" s="1"/>
  <c r="B59" i="31"/>
  <c r="G59" i="31"/>
  <c r="H59" i="31"/>
  <c r="E51" i="42"/>
  <c r="F51" i="42" s="1"/>
  <c r="D52" i="42" s="1"/>
  <c r="E70" i="19"/>
  <c r="F70" i="19" s="1"/>
  <c r="H70" i="19" s="1"/>
  <c r="G62" i="23"/>
  <c r="I62" i="23" s="1"/>
  <c r="G73" i="28" l="1"/>
  <c r="G74" i="28" s="1"/>
  <c r="I66" i="18"/>
  <c r="I59" i="31"/>
  <c r="I65" i="25"/>
  <c r="I53" i="40"/>
  <c r="H66" i="24"/>
  <c r="I66" i="24" s="1"/>
  <c r="I63" i="27"/>
  <c r="D72" i="3"/>
  <c r="E72" i="3" s="1"/>
  <c r="F72" i="3" s="1"/>
  <c r="G71" i="3"/>
  <c r="H71" i="3"/>
  <c r="E53" i="41"/>
  <c r="F53" i="41" s="1"/>
  <c r="D54" i="41" s="1"/>
  <c r="B53" i="41"/>
  <c r="D57" i="39"/>
  <c r="E57" i="39" s="1"/>
  <c r="F57" i="39" s="1"/>
  <c r="G63" i="23"/>
  <c r="D64" i="23"/>
  <c r="E64" i="23" s="1"/>
  <c r="F64" i="23" s="1"/>
  <c r="D59" i="34"/>
  <c r="B63" i="22"/>
  <c r="D65" i="29"/>
  <c r="E65" i="29" s="1"/>
  <c r="B64" i="27"/>
  <c r="E52" i="42"/>
  <c r="F52" i="42" s="1"/>
  <c r="D53" i="42" s="1"/>
  <c r="B52" i="42"/>
  <c r="D70" i="4"/>
  <c r="E70" i="4"/>
  <c r="H64" i="29"/>
  <c r="G64" i="29"/>
  <c r="G69" i="4"/>
  <c r="I69" i="4" s="1"/>
  <c r="D68" i="21"/>
  <c r="E68" i="21" s="1"/>
  <c r="F68" i="21" s="1"/>
  <c r="G70" i="19"/>
  <c r="I70" i="19" s="1"/>
  <c r="D71" i="19"/>
  <c r="E71" i="19"/>
  <c r="F71" i="19" s="1"/>
  <c r="B67" i="18"/>
  <c r="D58" i="37"/>
  <c r="E58" i="37" s="1"/>
  <c r="F58" i="37" s="1"/>
  <c r="B56" i="39"/>
  <c r="G56" i="39"/>
  <c r="H56" i="39"/>
  <c r="D67" i="24"/>
  <c r="B63" i="23"/>
  <c r="H63" i="23"/>
  <c r="B52" i="41"/>
  <c r="G52" i="41"/>
  <c r="H52" i="41"/>
  <c r="D61" i="31"/>
  <c r="E61" i="31" s="1"/>
  <c r="F61" i="31" s="1"/>
  <c r="D66" i="26"/>
  <c r="E66" i="26" s="1"/>
  <c r="F66" i="26" s="1"/>
  <c r="D61" i="38"/>
  <c r="E61" i="38" s="1"/>
  <c r="I73" i="28"/>
  <c r="I74" i="28" s="1"/>
  <c r="H74" i="28"/>
  <c r="B58" i="34"/>
  <c r="H58" i="34"/>
  <c r="G58" i="34"/>
  <c r="G57" i="37"/>
  <c r="I57" i="37" s="1"/>
  <c r="H51" i="42"/>
  <c r="B67" i="21"/>
  <c r="H67" i="21"/>
  <c r="G67" i="21"/>
  <c r="B66" i="25"/>
  <c r="B54" i="40"/>
  <c r="E63" i="22"/>
  <c r="F63" i="22" s="1"/>
  <c r="G63" i="22" s="1"/>
  <c r="E67" i="18"/>
  <c r="F67" i="18" s="1"/>
  <c r="I64" i="26"/>
  <c r="I59" i="38"/>
  <c r="B60" i="31"/>
  <c r="G60" i="31"/>
  <c r="H60" i="31"/>
  <c r="B60" i="35"/>
  <c r="F60" i="35"/>
  <c r="H60" i="35" s="1"/>
  <c r="G60" i="35"/>
  <c r="E66" i="25"/>
  <c r="F66" i="25" s="1"/>
  <c r="H66" i="25" s="1"/>
  <c r="B65" i="26"/>
  <c r="G65" i="26"/>
  <c r="H65" i="26"/>
  <c r="B60" i="38"/>
  <c r="G60" i="38"/>
  <c r="H60" i="38"/>
  <c r="E64" i="27"/>
  <c r="F64" i="27" s="1"/>
  <c r="H64" i="27" s="1"/>
  <c r="E54" i="40"/>
  <c r="F54" i="40" s="1"/>
  <c r="H54" i="40" s="1"/>
  <c r="G51" i="42"/>
  <c r="I60" i="38" l="1"/>
  <c r="H63" i="22"/>
  <c r="I56" i="39"/>
  <c r="I60" i="35"/>
  <c r="I58" i="34"/>
  <c r="I51" i="42"/>
  <c r="I63" i="23"/>
  <c r="I65" i="26"/>
  <c r="I60" i="31"/>
  <c r="I52" i="41"/>
  <c r="I64" i="29"/>
  <c r="H52" i="42"/>
  <c r="B67" i="24"/>
  <c r="D69" i="21"/>
  <c r="I63" i="22"/>
  <c r="F61" i="38"/>
  <c r="B61" i="38"/>
  <c r="B58" i="37"/>
  <c r="H58" i="37"/>
  <c r="D72" i="19"/>
  <c r="E72" i="19" s="1"/>
  <c r="F72" i="19" s="1"/>
  <c r="B68" i="21"/>
  <c r="H68" i="21"/>
  <c r="G68" i="21"/>
  <c r="D65" i="23"/>
  <c r="E65" i="23" s="1"/>
  <c r="F65" i="23" s="1"/>
  <c r="B57" i="39"/>
  <c r="H57" i="39"/>
  <c r="G57" i="39"/>
  <c r="E54" i="41"/>
  <c r="F54" i="41" s="1"/>
  <c r="B54" i="41"/>
  <c r="I71" i="3"/>
  <c r="G67" i="18"/>
  <c r="D68" i="18"/>
  <c r="E68" i="18" s="1"/>
  <c r="F68" i="18" s="1"/>
  <c r="B61" i="31"/>
  <c r="H61" i="31"/>
  <c r="G61" i="31"/>
  <c r="D61" i="35"/>
  <c r="E61" i="35" s="1"/>
  <c r="D64" i="22"/>
  <c r="E64" i="22" s="1"/>
  <c r="F64" i="22" s="1"/>
  <c r="D67" i="26"/>
  <c r="E67" i="26"/>
  <c r="B71" i="19"/>
  <c r="G71" i="19"/>
  <c r="H71" i="19"/>
  <c r="B70" i="4"/>
  <c r="F70" i="4"/>
  <c r="G70" i="4" s="1"/>
  <c r="E53" i="42"/>
  <c r="F53" i="42" s="1"/>
  <c r="D54" i="42" s="1"/>
  <c r="B53" i="42"/>
  <c r="B64" i="23"/>
  <c r="G64" i="23"/>
  <c r="H64" i="23"/>
  <c r="H53" i="41"/>
  <c r="D73" i="3"/>
  <c r="E73" i="3" s="1"/>
  <c r="E74" i="3" s="1"/>
  <c r="D65" i="27"/>
  <c r="E65" i="27" s="1"/>
  <c r="F65" i="27" s="1"/>
  <c r="D62" i="31"/>
  <c r="E62" i="31" s="1"/>
  <c r="F62" i="31" s="1"/>
  <c r="G58" i="37"/>
  <c r="D59" i="37"/>
  <c r="E59" i="37" s="1"/>
  <c r="B59" i="34"/>
  <c r="D58" i="39"/>
  <c r="E58" i="39" s="1"/>
  <c r="F58" i="39" s="1"/>
  <c r="D55" i="40"/>
  <c r="E55" i="40" s="1"/>
  <c r="F55" i="40" s="1"/>
  <c r="D56" i="40" s="1"/>
  <c r="D67" i="25"/>
  <c r="E67" i="25" s="1"/>
  <c r="F67" i="25" s="1"/>
  <c r="G54" i="40"/>
  <c r="I54" i="40" s="1"/>
  <c r="G66" i="25"/>
  <c r="I66" i="25" s="1"/>
  <c r="I67" i="21"/>
  <c r="B66" i="26"/>
  <c r="H66" i="26"/>
  <c r="G66" i="26"/>
  <c r="I66" i="26" s="1"/>
  <c r="E67" i="24"/>
  <c r="F67" i="24" s="1"/>
  <c r="H67" i="18"/>
  <c r="G52" i="42"/>
  <c r="G64" i="27"/>
  <c r="I64" i="27" s="1"/>
  <c r="F65" i="29"/>
  <c r="G65" i="29" s="1"/>
  <c r="E59" i="34"/>
  <c r="F59" i="34" s="1"/>
  <c r="G53" i="41"/>
  <c r="B72" i="3"/>
  <c r="H72" i="3"/>
  <c r="G72" i="3"/>
  <c r="G53" i="42" l="1"/>
  <c r="I67" i="18"/>
  <c r="I71" i="19"/>
  <c r="I68" i="21"/>
  <c r="I58" i="37"/>
  <c r="I52" i="42"/>
  <c r="D66" i="27"/>
  <c r="E66" i="27" s="1"/>
  <c r="F66" i="27" s="1"/>
  <c r="E56" i="40"/>
  <c r="F56" i="40" s="1"/>
  <c r="B56" i="40"/>
  <c r="H65" i="23"/>
  <c r="D66" i="23"/>
  <c r="E66" i="23" s="1"/>
  <c r="F66" i="23" s="1"/>
  <c r="D66" i="29"/>
  <c r="E66" i="29" s="1"/>
  <c r="G67" i="24"/>
  <c r="D68" i="24"/>
  <c r="D59" i="39"/>
  <c r="E59" i="39" s="1"/>
  <c r="F59" i="39" s="1"/>
  <c r="B73" i="3"/>
  <c r="F73" i="3"/>
  <c r="G73" i="3" s="1"/>
  <c r="G74" i="3" s="1"/>
  <c r="H73" i="3"/>
  <c r="B67" i="26"/>
  <c r="F67" i="26"/>
  <c r="G67" i="26" s="1"/>
  <c r="B65" i="23"/>
  <c r="G65" i="23"/>
  <c r="D62" i="38"/>
  <c r="E62" i="38" s="1"/>
  <c r="G59" i="34"/>
  <c r="D60" i="34"/>
  <c r="E60" i="34" s="1"/>
  <c r="F60" i="34" s="1"/>
  <c r="B58" i="39"/>
  <c r="G58" i="39"/>
  <c r="H58" i="39"/>
  <c r="B59" i="37"/>
  <c r="F59" i="37"/>
  <c r="G59" i="37" s="1"/>
  <c r="I53" i="41"/>
  <c r="H53" i="42"/>
  <c r="I53" i="42" s="1"/>
  <c r="D65" i="22"/>
  <c r="E65" i="22" s="1"/>
  <c r="F65" i="22" s="1"/>
  <c r="B68" i="18"/>
  <c r="G68" i="18"/>
  <c r="H68" i="18"/>
  <c r="I57" i="39"/>
  <c r="D73" i="19"/>
  <c r="E73" i="19" s="1"/>
  <c r="E74" i="19" s="1"/>
  <c r="H61" i="38"/>
  <c r="G67" i="25"/>
  <c r="D68" i="25"/>
  <c r="E68" i="25" s="1"/>
  <c r="F68" i="25" s="1"/>
  <c r="D63" i="31"/>
  <c r="E63" i="31" s="1"/>
  <c r="F63" i="31" s="1"/>
  <c r="D55" i="41"/>
  <c r="E55" i="41" s="1"/>
  <c r="F55" i="41" s="1"/>
  <c r="D56" i="41" s="1"/>
  <c r="B69" i="21"/>
  <c r="B67" i="25"/>
  <c r="H67" i="25"/>
  <c r="B62" i="31"/>
  <c r="H62" i="31"/>
  <c r="G62" i="31"/>
  <c r="E54" i="42"/>
  <c r="F54" i="42" s="1"/>
  <c r="H54" i="42" s="1"/>
  <c r="B54" i="42"/>
  <c r="B61" i="35"/>
  <c r="F61" i="35"/>
  <c r="G61" i="35" s="1"/>
  <c r="D69" i="18"/>
  <c r="H54" i="41"/>
  <c r="H67" i="24"/>
  <c r="I67" i="24" s="1"/>
  <c r="I72" i="3"/>
  <c r="H65" i="29"/>
  <c r="I65" i="29" s="1"/>
  <c r="B55" i="40"/>
  <c r="G55" i="40"/>
  <c r="H55" i="40"/>
  <c r="H59" i="34"/>
  <c r="B65" i="27"/>
  <c r="H65" i="27"/>
  <c r="G65" i="27"/>
  <c r="I64" i="23"/>
  <c r="H70" i="4"/>
  <c r="I70" i="4" s="1"/>
  <c r="D71" i="4"/>
  <c r="E71" i="4" s="1"/>
  <c r="B64" i="22"/>
  <c r="G64" i="22"/>
  <c r="H64" i="22"/>
  <c r="I61" i="31"/>
  <c r="G54" i="41"/>
  <c r="B72" i="19"/>
  <c r="H72" i="19"/>
  <c r="G72" i="19"/>
  <c r="G61" i="38"/>
  <c r="E69" i="21"/>
  <c r="F69" i="21" s="1"/>
  <c r="H69" i="21" s="1"/>
  <c r="G54" i="42" l="1"/>
  <c r="I54" i="41"/>
  <c r="I55" i="40"/>
  <c r="I64" i="22"/>
  <c r="I67" i="25"/>
  <c r="D64" i="31"/>
  <c r="E64" i="31" s="1"/>
  <c r="F64" i="31" s="1"/>
  <c r="H65" i="22"/>
  <c r="D66" i="22"/>
  <c r="I72" i="19"/>
  <c r="B73" i="19"/>
  <c r="F73" i="19"/>
  <c r="H73" i="19" s="1"/>
  <c r="I73" i="3"/>
  <c r="I74" i="3" s="1"/>
  <c r="H74" i="3"/>
  <c r="B59" i="39"/>
  <c r="G59" i="39"/>
  <c r="H59" i="39"/>
  <c r="F66" i="29"/>
  <c r="G66" i="29" s="1"/>
  <c r="D57" i="40"/>
  <c r="E56" i="41"/>
  <c r="F56" i="41" s="1"/>
  <c r="D57" i="41" s="1"/>
  <c r="B56" i="41"/>
  <c r="H56" i="41"/>
  <c r="H68" i="25"/>
  <c r="D69" i="25"/>
  <c r="E69" i="25" s="1"/>
  <c r="F69" i="25" s="1"/>
  <c r="D70" i="25" s="1"/>
  <c r="D60" i="39"/>
  <c r="E60" i="39" s="1"/>
  <c r="F60" i="39" s="1"/>
  <c r="I65" i="27"/>
  <c r="I54" i="42"/>
  <c r="I62" i="31"/>
  <c r="B68" i="25"/>
  <c r="G68" i="25"/>
  <c r="D70" i="21"/>
  <c r="E70" i="21" s="1"/>
  <c r="F70" i="21" s="1"/>
  <c r="H61" i="35"/>
  <c r="I61" i="35" s="1"/>
  <c r="D62" i="35"/>
  <c r="E62" i="35" s="1"/>
  <c r="F62" i="35" s="1"/>
  <c r="G69" i="21"/>
  <c r="I69" i="21" s="1"/>
  <c r="D61" i="34"/>
  <c r="B62" i="38"/>
  <c r="F62" i="38"/>
  <c r="H62" i="38" s="1"/>
  <c r="H67" i="26"/>
  <c r="I67" i="26" s="1"/>
  <c r="D68" i="26"/>
  <c r="E68" i="26"/>
  <c r="F68" i="26" s="1"/>
  <c r="E68" i="24"/>
  <c r="F68" i="24" s="1"/>
  <c r="D69" i="24" s="1"/>
  <c r="B68" i="24"/>
  <c r="H68" i="24"/>
  <c r="D67" i="23"/>
  <c r="E67" i="23" s="1"/>
  <c r="H56" i="40"/>
  <c r="D67" i="27"/>
  <c r="B69" i="18"/>
  <c r="B71" i="4"/>
  <c r="F71" i="4"/>
  <c r="H71" i="4" s="1"/>
  <c r="G55" i="41"/>
  <c r="H55" i="41"/>
  <c r="B55" i="41"/>
  <c r="D60" i="37"/>
  <c r="I59" i="34"/>
  <c r="E69" i="18"/>
  <c r="F69" i="18" s="1"/>
  <c r="D55" i="42"/>
  <c r="B63" i="31"/>
  <c r="H63" i="31"/>
  <c r="G63" i="31"/>
  <c r="I61" i="38"/>
  <c r="I68" i="18"/>
  <c r="B65" i="22"/>
  <c r="G65" i="22"/>
  <c r="H59" i="37"/>
  <c r="I59" i="37" s="1"/>
  <c r="I58" i="39"/>
  <c r="B60" i="34"/>
  <c r="G60" i="34"/>
  <c r="H60" i="34"/>
  <c r="I65" i="23"/>
  <c r="B66" i="23"/>
  <c r="G66" i="23"/>
  <c r="H66" i="23"/>
  <c r="G56" i="40"/>
  <c r="B66" i="27"/>
  <c r="H66" i="27"/>
  <c r="G66" i="27"/>
  <c r="G56" i="41" l="1"/>
  <c r="I68" i="25"/>
  <c r="H66" i="29"/>
  <c r="G68" i="24"/>
  <c r="I68" i="24" s="1"/>
  <c r="I66" i="27"/>
  <c r="I65" i="22"/>
  <c r="I59" i="39"/>
  <c r="H74" i="19"/>
  <c r="D70" i="18"/>
  <c r="E70" i="18" s="1"/>
  <c r="F70" i="18" s="1"/>
  <c r="G69" i="18"/>
  <c r="H69" i="18"/>
  <c r="B60" i="37"/>
  <c r="E70" i="25"/>
  <c r="F70" i="25" s="1"/>
  <c r="G70" i="25" s="1"/>
  <c r="B70" i="25"/>
  <c r="B68" i="26"/>
  <c r="G68" i="26"/>
  <c r="H68" i="26"/>
  <c r="D63" i="38"/>
  <c r="E63" i="38"/>
  <c r="F63" i="38" s="1"/>
  <c r="D71" i="21"/>
  <c r="E71" i="21" s="1"/>
  <c r="F71" i="21" s="1"/>
  <c r="B69" i="25"/>
  <c r="H69" i="25"/>
  <c r="G69" i="25"/>
  <c r="I66" i="29"/>
  <c r="B55" i="42"/>
  <c r="D69" i="26"/>
  <c r="B57" i="40"/>
  <c r="B66" i="22"/>
  <c r="I63" i="31"/>
  <c r="G71" i="4"/>
  <c r="I71" i="4" s="1"/>
  <c r="D72" i="4"/>
  <c r="E72" i="4" s="1"/>
  <c r="F72" i="4" s="1"/>
  <c r="I56" i="40"/>
  <c r="I55" i="41"/>
  <c r="G62" i="35"/>
  <c r="D63" i="35"/>
  <c r="B70" i="21"/>
  <c r="G70" i="21"/>
  <c r="H70" i="21"/>
  <c r="D61" i="39"/>
  <c r="E61" i="39" s="1"/>
  <c r="F61" i="39" s="1"/>
  <c r="E57" i="41"/>
  <c r="F57" i="41" s="1"/>
  <c r="B57" i="41"/>
  <c r="G73" i="19"/>
  <c r="G74" i="19" s="1"/>
  <c r="D65" i="31"/>
  <c r="B67" i="27"/>
  <c r="B61" i="34"/>
  <c r="I66" i="23"/>
  <c r="I60" i="34"/>
  <c r="E55" i="42"/>
  <c r="F55" i="42" s="1"/>
  <c r="E60" i="37"/>
  <c r="F60" i="37" s="1"/>
  <c r="H60" i="37" s="1"/>
  <c r="E67" i="27"/>
  <c r="F67" i="27" s="1"/>
  <c r="H67" i="27" s="1"/>
  <c r="F67" i="23"/>
  <c r="D68" i="23" s="1"/>
  <c r="B67" i="23"/>
  <c r="E69" i="24"/>
  <c r="F69" i="24" s="1"/>
  <c r="H69" i="24" s="1"/>
  <c r="B69" i="24"/>
  <c r="G62" i="38"/>
  <c r="I62" i="38" s="1"/>
  <c r="E61" i="34"/>
  <c r="F61" i="34" s="1"/>
  <c r="G61" i="34" s="1"/>
  <c r="B62" i="35"/>
  <c r="H62" i="35"/>
  <c r="I62" i="35" s="1"/>
  <c r="B60" i="39"/>
  <c r="H60" i="39"/>
  <c r="G60" i="39"/>
  <c r="I56" i="41"/>
  <c r="E57" i="40"/>
  <c r="F57" i="40" s="1"/>
  <c r="D58" i="40" s="1"/>
  <c r="D67" i="29"/>
  <c r="E67" i="29" s="1"/>
  <c r="F67" i="29" s="1"/>
  <c r="E66" i="22"/>
  <c r="F66" i="22" s="1"/>
  <c r="H66" i="22" s="1"/>
  <c r="B64" i="31"/>
  <c r="G64" i="31"/>
  <c r="H64" i="31"/>
  <c r="G69" i="24" l="1"/>
  <c r="I69" i="24" s="1"/>
  <c r="H67" i="23"/>
  <c r="I64" i="31"/>
  <c r="G67" i="23"/>
  <c r="G57" i="40"/>
  <c r="I68" i="26"/>
  <c r="H61" i="39"/>
  <c r="D62" i="39"/>
  <c r="B63" i="35"/>
  <c r="H72" i="4"/>
  <c r="D73" i="4"/>
  <c r="D71" i="18"/>
  <c r="D68" i="29"/>
  <c r="E68" i="29" s="1"/>
  <c r="F68" i="29" s="1"/>
  <c r="D61" i="37"/>
  <c r="E61" i="37" s="1"/>
  <c r="F61" i="37" s="1"/>
  <c r="D62" i="37" s="1"/>
  <c r="D58" i="41"/>
  <c r="E58" i="41"/>
  <c r="F58" i="41" s="1"/>
  <c r="D59" i="41" s="1"/>
  <c r="I70" i="21"/>
  <c r="B72" i="4"/>
  <c r="G72" i="4"/>
  <c r="I72" i="4" s="1"/>
  <c r="B71" i="21"/>
  <c r="H71" i="21"/>
  <c r="B70" i="18"/>
  <c r="H70" i="18"/>
  <c r="G70" i="18"/>
  <c r="G67" i="27"/>
  <c r="I67" i="27" s="1"/>
  <c r="D68" i="27"/>
  <c r="E68" i="27" s="1"/>
  <c r="F68" i="27" s="1"/>
  <c r="D62" i="34"/>
  <c r="B69" i="26"/>
  <c r="G71" i="21"/>
  <c r="D72" i="21"/>
  <c r="E72" i="21" s="1"/>
  <c r="F72" i="21" s="1"/>
  <c r="G67" i="29"/>
  <c r="H67" i="29"/>
  <c r="I67" i="29" s="1"/>
  <c r="I60" i="39"/>
  <c r="H55" i="42"/>
  <c r="D56" i="42"/>
  <c r="H61" i="34"/>
  <c r="I61" i="34" s="1"/>
  <c r="H57" i="41"/>
  <c r="G55" i="42"/>
  <c r="I69" i="25"/>
  <c r="D64" i="38"/>
  <c r="E64" i="38" s="1"/>
  <c r="D71" i="25"/>
  <c r="E71" i="25"/>
  <c r="D67" i="22"/>
  <c r="E67" i="22" s="1"/>
  <c r="F67" i="22" s="1"/>
  <c r="B65" i="31"/>
  <c r="G66" i="22"/>
  <c r="I66" i="22" s="1"/>
  <c r="E58" i="40"/>
  <c r="F58" i="40" s="1"/>
  <c r="D59" i="40" s="1"/>
  <c r="B58" i="40"/>
  <c r="D70" i="24"/>
  <c r="E70" i="24" s="1"/>
  <c r="F70" i="24" s="1"/>
  <c r="D71" i="24" s="1"/>
  <c r="E68" i="23"/>
  <c r="F68" i="23" s="1"/>
  <c r="B68" i="23"/>
  <c r="E65" i="31"/>
  <c r="F65" i="31" s="1"/>
  <c r="G57" i="41"/>
  <c r="B61" i="39"/>
  <c r="G61" i="39"/>
  <c r="E63" i="35"/>
  <c r="F63" i="35" s="1"/>
  <c r="H57" i="40"/>
  <c r="I57" i="40" s="1"/>
  <c r="E69" i="26"/>
  <c r="F69" i="26" s="1"/>
  <c r="B63" i="38"/>
  <c r="G63" i="38"/>
  <c r="H63" i="38"/>
  <c r="H70" i="25"/>
  <c r="I70" i="25" s="1"/>
  <c r="G60" i="37"/>
  <c r="I60" i="37" s="1"/>
  <c r="I69" i="18"/>
  <c r="I73" i="19"/>
  <c r="I74" i="19" s="1"/>
  <c r="I61" i="39" l="1"/>
  <c r="I55" i="42"/>
  <c r="H58" i="40"/>
  <c r="I67" i="23"/>
  <c r="I63" i="38"/>
  <c r="G58" i="40"/>
  <c r="D70" i="26"/>
  <c r="E70" i="26" s="1"/>
  <c r="F70" i="26" s="1"/>
  <c r="H69" i="26"/>
  <c r="G69" i="26"/>
  <c r="H63" i="35"/>
  <c r="D64" i="35"/>
  <c r="E64" i="35"/>
  <c r="F64" i="35" s="1"/>
  <c r="G63" i="35"/>
  <c r="D69" i="27"/>
  <c r="E69" i="27" s="1"/>
  <c r="F69" i="27" s="1"/>
  <c r="G67" i="22"/>
  <c r="D68" i="22"/>
  <c r="I57" i="41"/>
  <c r="B62" i="39"/>
  <c r="D66" i="31"/>
  <c r="E66" i="31" s="1"/>
  <c r="F66" i="31" s="1"/>
  <c r="D69" i="23"/>
  <c r="E69" i="23" s="1"/>
  <c r="F69" i="23" s="1"/>
  <c r="H65" i="31"/>
  <c r="B67" i="22"/>
  <c r="H67" i="22"/>
  <c r="F64" i="38"/>
  <c r="G64" i="38" s="1"/>
  <c r="B64" i="38"/>
  <c r="B72" i="21"/>
  <c r="G72" i="21"/>
  <c r="H72" i="21"/>
  <c r="I70" i="18"/>
  <c r="G58" i="41"/>
  <c r="B58" i="41"/>
  <c r="H58" i="41"/>
  <c r="D69" i="29"/>
  <c r="E69" i="29" s="1"/>
  <c r="F69" i="29" s="1"/>
  <c r="E73" i="4"/>
  <c r="E74" i="4" s="1"/>
  <c r="B73" i="4"/>
  <c r="B62" i="34"/>
  <c r="E59" i="41"/>
  <c r="F59" i="41" s="1"/>
  <c r="D60" i="41" s="1"/>
  <c r="B59" i="41"/>
  <c r="H68" i="23"/>
  <c r="E71" i="24"/>
  <c r="F71" i="24" s="1"/>
  <c r="G71" i="24" s="1"/>
  <c r="B71" i="24"/>
  <c r="G65" i="31"/>
  <c r="E56" i="42"/>
  <c r="F56" i="42" s="1"/>
  <c r="B56" i="42"/>
  <c r="B68" i="27"/>
  <c r="H68" i="27"/>
  <c r="G68" i="27"/>
  <c r="E62" i="37"/>
  <c r="F62" i="37" s="1"/>
  <c r="H62" i="37" s="1"/>
  <c r="B62" i="37"/>
  <c r="H68" i="29"/>
  <c r="G68" i="29"/>
  <c r="D73" i="21"/>
  <c r="E73" i="21" s="1"/>
  <c r="E74" i="21" s="1"/>
  <c r="B71" i="18"/>
  <c r="G68" i="23"/>
  <c r="B70" i="24"/>
  <c r="H70" i="24"/>
  <c r="G70" i="24"/>
  <c r="E59" i="40"/>
  <c r="F59" i="40" s="1"/>
  <c r="B59" i="40"/>
  <c r="F71" i="25"/>
  <c r="G71" i="25" s="1"/>
  <c r="B71" i="25"/>
  <c r="E62" i="34"/>
  <c r="F62" i="34" s="1"/>
  <c r="I71" i="21"/>
  <c r="B61" i="37"/>
  <c r="G61" i="37"/>
  <c r="H61" i="37"/>
  <c r="I61" i="37" s="1"/>
  <c r="E71" i="18"/>
  <c r="F71" i="18" s="1"/>
  <c r="H71" i="18" s="1"/>
  <c r="E62" i="39"/>
  <c r="F62" i="39" s="1"/>
  <c r="H62" i="39" s="1"/>
  <c r="G71" i="18" l="1"/>
  <c r="G62" i="37"/>
  <c r="I62" i="37" s="1"/>
  <c r="I63" i="35"/>
  <c r="H71" i="24"/>
  <c r="I71" i="24" s="1"/>
  <c r="I67" i="22"/>
  <c r="I58" i="40"/>
  <c r="D63" i="34"/>
  <c r="E63" i="34" s="1"/>
  <c r="H62" i="34"/>
  <c r="G62" i="34"/>
  <c r="G59" i="40"/>
  <c r="D60" i="40"/>
  <c r="E60" i="40" s="1"/>
  <c r="F60" i="40" s="1"/>
  <c r="D61" i="40" s="1"/>
  <c r="H59" i="40"/>
  <c r="H56" i="42"/>
  <c r="D57" i="42"/>
  <c r="E57" i="42" s="1"/>
  <c r="F57" i="42" s="1"/>
  <c r="G56" i="42"/>
  <c r="B68" i="22"/>
  <c r="H71" i="25"/>
  <c r="I71" i="25" s="1"/>
  <c r="I71" i="18"/>
  <c r="H59" i="41"/>
  <c r="H69" i="29"/>
  <c r="D70" i="29"/>
  <c r="I69" i="26"/>
  <c r="G62" i="39"/>
  <c r="I62" i="39" s="1"/>
  <c r="D63" i="39"/>
  <c r="I70" i="24"/>
  <c r="G59" i="41"/>
  <c r="G69" i="29"/>
  <c r="D67" i="31"/>
  <c r="E67" i="31" s="1"/>
  <c r="F67" i="31" s="1"/>
  <c r="D70" i="27"/>
  <c r="E70" i="27"/>
  <c r="F70" i="27" s="1"/>
  <c r="B64" i="35"/>
  <c r="G64" i="35"/>
  <c r="H64" i="35"/>
  <c r="H70" i="26"/>
  <c r="D71" i="26"/>
  <c r="E71" i="26" s="1"/>
  <c r="F71" i="26" s="1"/>
  <c r="D72" i="25"/>
  <c r="E72" i="25" s="1"/>
  <c r="F72" i="25" s="1"/>
  <c r="I68" i="23"/>
  <c r="E60" i="41"/>
  <c r="F60" i="41" s="1"/>
  <c r="D61" i="41" s="1"/>
  <c r="G60" i="41"/>
  <c r="B60" i="41"/>
  <c r="H64" i="38"/>
  <c r="I64" i="38" s="1"/>
  <c r="D65" i="38"/>
  <c r="E65" i="38" s="1"/>
  <c r="F65" i="38" s="1"/>
  <c r="D70" i="23"/>
  <c r="E70" i="23" s="1"/>
  <c r="F70" i="23" s="1"/>
  <c r="B73" i="21"/>
  <c r="F73" i="21"/>
  <c r="H73" i="21" s="1"/>
  <c r="I68" i="27"/>
  <c r="B69" i="23"/>
  <c r="G69" i="23"/>
  <c r="H69" i="23"/>
  <c r="D65" i="35"/>
  <c r="E65" i="35"/>
  <c r="D72" i="18"/>
  <c r="E72" i="18" s="1"/>
  <c r="I68" i="29"/>
  <c r="D63" i="37"/>
  <c r="D72" i="24"/>
  <c r="E72" i="24" s="1"/>
  <c r="F72" i="24" s="1"/>
  <c r="F73" i="4"/>
  <c r="I58" i="41"/>
  <c r="I72" i="21"/>
  <c r="I65" i="31"/>
  <c r="B66" i="31"/>
  <c r="H66" i="31"/>
  <c r="G66" i="31"/>
  <c r="E68" i="22"/>
  <c r="F68" i="22" s="1"/>
  <c r="B69" i="27"/>
  <c r="H69" i="27"/>
  <c r="G69" i="27"/>
  <c r="B70" i="26"/>
  <c r="G70" i="26"/>
  <c r="I70" i="26" l="1"/>
  <c r="I69" i="23"/>
  <c r="G73" i="21"/>
  <c r="G74" i="21" s="1"/>
  <c r="I64" i="35"/>
  <c r="I56" i="42"/>
  <c r="I62" i="34"/>
  <c r="I69" i="29"/>
  <c r="I59" i="40"/>
  <c r="B63" i="37"/>
  <c r="D58" i="42"/>
  <c r="E58" i="42"/>
  <c r="F58" i="42" s="1"/>
  <c r="G68" i="22"/>
  <c r="D69" i="22"/>
  <c r="G72" i="24"/>
  <c r="D73" i="24"/>
  <c r="B65" i="38"/>
  <c r="G65" i="38"/>
  <c r="H65" i="38"/>
  <c r="B57" i="42"/>
  <c r="H57" i="42"/>
  <c r="G57" i="42"/>
  <c r="B72" i="24"/>
  <c r="H72" i="24"/>
  <c r="D71" i="23"/>
  <c r="E61" i="41"/>
  <c r="F61" i="41" s="1"/>
  <c r="D62" i="41" s="1"/>
  <c r="B61" i="41"/>
  <c r="D72" i="26"/>
  <c r="E72" i="26" s="1"/>
  <c r="F72" i="26" s="1"/>
  <c r="D68" i="31"/>
  <c r="I59" i="41"/>
  <c r="B60" i="40"/>
  <c r="H60" i="40"/>
  <c r="G60" i="40"/>
  <c r="H73" i="4"/>
  <c r="G73" i="4"/>
  <c r="G74" i="4" s="1"/>
  <c r="D66" i="38"/>
  <c r="D73" i="25"/>
  <c r="E73" i="25" s="1"/>
  <c r="E74" i="25" s="1"/>
  <c r="D71" i="27"/>
  <c r="B63" i="39"/>
  <c r="F65" i="35"/>
  <c r="H65" i="35" s="1"/>
  <c r="B65" i="35"/>
  <c r="B72" i="25"/>
  <c r="H72" i="25"/>
  <c r="G72" i="25"/>
  <c r="I72" i="25" s="1"/>
  <c r="B70" i="27"/>
  <c r="H70" i="27"/>
  <c r="G70" i="27"/>
  <c r="H68" i="22"/>
  <c r="E61" i="40"/>
  <c r="F61" i="40" s="1"/>
  <c r="B61" i="40"/>
  <c r="I69" i="27"/>
  <c r="I66" i="31"/>
  <c r="E63" i="37"/>
  <c r="F63" i="37" s="1"/>
  <c r="G63" i="37" s="1"/>
  <c r="B72" i="18"/>
  <c r="F72" i="18"/>
  <c r="H72" i="18"/>
  <c r="H74" i="21"/>
  <c r="B70" i="23"/>
  <c r="H70" i="23"/>
  <c r="G70" i="23"/>
  <c r="H60" i="41"/>
  <c r="I60" i="41" s="1"/>
  <c r="B71" i="26"/>
  <c r="H71" i="26"/>
  <c r="G71" i="26"/>
  <c r="B67" i="31"/>
  <c r="G67" i="31"/>
  <c r="H67" i="31"/>
  <c r="E63" i="39"/>
  <c r="F63" i="39" s="1"/>
  <c r="D64" i="39" s="1"/>
  <c r="E70" i="29"/>
  <c r="F70" i="29" s="1"/>
  <c r="H70" i="29" s="1"/>
  <c r="F63" i="34"/>
  <c r="B63" i="34"/>
  <c r="I67" i="31" l="1"/>
  <c r="I68" i="22"/>
  <c r="I73" i="21"/>
  <c r="I74" i="21" s="1"/>
  <c r="I72" i="24"/>
  <c r="I71" i="26"/>
  <c r="I60" i="40"/>
  <c r="I57" i="42"/>
  <c r="G63" i="39"/>
  <c r="G70" i="29"/>
  <c r="I70" i="29" s="1"/>
  <c r="I70" i="23"/>
  <c r="I70" i="27"/>
  <c r="H63" i="39"/>
  <c r="H61" i="41"/>
  <c r="I65" i="38"/>
  <c r="G61" i="40"/>
  <c r="D62" i="40"/>
  <c r="H61" i="40"/>
  <c r="H72" i="26"/>
  <c r="D73" i="26"/>
  <c r="E73" i="26" s="1"/>
  <c r="E74" i="26" s="1"/>
  <c r="B71" i="27"/>
  <c r="B68" i="31"/>
  <c r="G63" i="34"/>
  <c r="D64" i="34"/>
  <c r="G72" i="18"/>
  <c r="I72" i="18" s="1"/>
  <c r="D73" i="18"/>
  <c r="E73" i="18" s="1"/>
  <c r="E74" i="18" s="1"/>
  <c r="E73" i="24"/>
  <c r="E74" i="24" s="1"/>
  <c r="B73" i="24"/>
  <c r="B71" i="23"/>
  <c r="B73" i="25"/>
  <c r="F73" i="25"/>
  <c r="H73" i="25" s="1"/>
  <c r="I73" i="4"/>
  <c r="I74" i="4" s="1"/>
  <c r="H74" i="4"/>
  <c r="B72" i="26"/>
  <c r="G72" i="26"/>
  <c r="E62" i="41"/>
  <c r="F62" i="41" s="1"/>
  <c r="B62" i="41"/>
  <c r="G58" i="42"/>
  <c r="D59" i="42"/>
  <c r="B66" i="38"/>
  <c r="B69" i="22"/>
  <c r="D71" i="29"/>
  <c r="E71" i="29" s="1"/>
  <c r="F71" i="29" s="1"/>
  <c r="H63" i="34"/>
  <c r="E64" i="39"/>
  <c r="F64" i="39" s="1"/>
  <c r="G64" i="39" s="1"/>
  <c r="H64" i="39"/>
  <c r="B64" i="39"/>
  <c r="H63" i="37"/>
  <c r="I63" i="37" s="1"/>
  <c r="D64" i="37"/>
  <c r="E64" i="37" s="1"/>
  <c r="F64" i="37" s="1"/>
  <c r="G65" i="35"/>
  <c r="I65" i="35" s="1"/>
  <c r="D66" i="35"/>
  <c r="E66" i="35" s="1"/>
  <c r="F66" i="35" s="1"/>
  <c r="E71" i="27"/>
  <c r="F71" i="27" s="1"/>
  <c r="G71" i="27" s="1"/>
  <c r="E66" i="38"/>
  <c r="F66" i="38" s="1"/>
  <c r="G66" i="38" s="1"/>
  <c r="E68" i="31"/>
  <c r="F68" i="31" s="1"/>
  <c r="G68" i="31" s="1"/>
  <c r="G61" i="41"/>
  <c r="E71" i="23"/>
  <c r="F71" i="23" s="1"/>
  <c r="H71" i="23" s="1"/>
  <c r="E69" i="22"/>
  <c r="F69" i="22" s="1"/>
  <c r="D70" i="22" s="1"/>
  <c r="B58" i="42"/>
  <c r="H58" i="42"/>
  <c r="I58" i="42" s="1"/>
  <c r="G73" i="25" l="1"/>
  <c r="G74" i="25" s="1"/>
  <c r="I61" i="41"/>
  <c r="I63" i="34"/>
  <c r="I72" i="26"/>
  <c r="F73" i="24"/>
  <c r="I61" i="40"/>
  <c r="I63" i="39"/>
  <c r="D63" i="41"/>
  <c r="H62" i="41"/>
  <c r="G62" i="41"/>
  <c r="H71" i="29"/>
  <c r="E64" i="34"/>
  <c r="F64" i="34" s="1"/>
  <c r="G64" i="34" s="1"/>
  <c r="B64" i="34"/>
  <c r="D72" i="23"/>
  <c r="E72" i="23"/>
  <c r="F72" i="23" s="1"/>
  <c r="D73" i="23" s="1"/>
  <c r="D65" i="37"/>
  <c r="B64" i="37"/>
  <c r="H64" i="37"/>
  <c r="G64" i="37"/>
  <c r="E70" i="22"/>
  <c r="F70" i="22" s="1"/>
  <c r="H70" i="22" s="1"/>
  <c r="B70" i="22"/>
  <c r="B66" i="35"/>
  <c r="G66" i="35"/>
  <c r="H66" i="35"/>
  <c r="D65" i="39"/>
  <c r="G69" i="22"/>
  <c r="E59" i="42"/>
  <c r="F59" i="42" s="1"/>
  <c r="B59" i="42"/>
  <c r="I73" i="25"/>
  <c r="I74" i="25" s="1"/>
  <c r="H74" i="25"/>
  <c r="G71" i="23"/>
  <c r="I71" i="23" s="1"/>
  <c r="B73" i="26"/>
  <c r="F73" i="26"/>
  <c r="G73" i="26" s="1"/>
  <c r="G74" i="26" s="1"/>
  <c r="E62" i="40"/>
  <c r="F62" i="40" s="1"/>
  <c r="G62" i="40" s="1"/>
  <c r="B62" i="40"/>
  <c r="D72" i="27"/>
  <c r="G71" i="29"/>
  <c r="D72" i="29"/>
  <c r="E72" i="29"/>
  <c r="F72" i="29" s="1"/>
  <c r="D67" i="35"/>
  <c r="E67" i="35" s="1"/>
  <c r="F67" i="35" s="1"/>
  <c r="I64" i="39"/>
  <c r="D69" i="31"/>
  <c r="D67" i="38"/>
  <c r="E67" i="38" s="1"/>
  <c r="F67" i="38" s="1"/>
  <c r="H69" i="22"/>
  <c r="I69" i="22" s="1"/>
  <c r="H66" i="38"/>
  <c r="I66" i="38" s="1"/>
  <c r="B73" i="18"/>
  <c r="F73" i="18"/>
  <c r="H73" i="18" s="1"/>
  <c r="H68" i="31"/>
  <c r="I68" i="31" s="1"/>
  <c r="H71" i="27"/>
  <c r="I71" i="27" s="1"/>
  <c r="H73" i="26" l="1"/>
  <c r="G70" i="22"/>
  <c r="I66" i="35"/>
  <c r="H73" i="24"/>
  <c r="G73" i="24"/>
  <c r="G74" i="24" s="1"/>
  <c r="B69" i="31"/>
  <c r="B65" i="39"/>
  <c r="D68" i="38"/>
  <c r="E68" i="38" s="1"/>
  <c r="F68" i="38" s="1"/>
  <c r="I64" i="37"/>
  <c r="E73" i="23"/>
  <c r="E74" i="23" s="1"/>
  <c r="B73" i="23"/>
  <c r="I62" i="41"/>
  <c r="H74" i="18"/>
  <c r="D73" i="29"/>
  <c r="E73" i="29" s="1"/>
  <c r="E74" i="29" s="1"/>
  <c r="D63" i="40"/>
  <c r="E63" i="40" s="1"/>
  <c r="F63" i="40" s="1"/>
  <c r="H59" i="42"/>
  <c r="D60" i="42"/>
  <c r="G73" i="18"/>
  <c r="G74" i="18" s="1"/>
  <c r="B67" i="38"/>
  <c r="G67" i="38"/>
  <c r="H67" i="38"/>
  <c r="H62" i="40"/>
  <c r="I62" i="40" s="1"/>
  <c r="I73" i="26"/>
  <c r="I74" i="26" s="1"/>
  <c r="H74" i="26"/>
  <c r="G59" i="42"/>
  <c r="I70" i="22"/>
  <c r="B72" i="23"/>
  <c r="H72" i="23"/>
  <c r="G72" i="23"/>
  <c r="D65" i="34"/>
  <c r="E65" i="34" s="1"/>
  <c r="F65" i="34" s="1"/>
  <c r="E63" i="41"/>
  <c r="F63" i="41" s="1"/>
  <c r="D64" i="41" s="1"/>
  <c r="B63" i="41"/>
  <c r="B72" i="27"/>
  <c r="B65" i="37"/>
  <c r="H72" i="29"/>
  <c r="G72" i="29"/>
  <c r="D68" i="35"/>
  <c r="E68" i="35" s="1"/>
  <c r="F68" i="35" s="1"/>
  <c r="E69" i="31"/>
  <c r="F69" i="31" s="1"/>
  <c r="H69" i="31" s="1"/>
  <c r="B67" i="35"/>
  <c r="G67" i="35"/>
  <c r="H67" i="35"/>
  <c r="E72" i="27"/>
  <c r="F72" i="27" s="1"/>
  <c r="G72" i="27" s="1"/>
  <c r="E65" i="39"/>
  <c r="F65" i="39" s="1"/>
  <c r="D71" i="22"/>
  <c r="E71" i="22" s="1"/>
  <c r="F71" i="22" s="1"/>
  <c r="E65" i="37"/>
  <c r="F65" i="37" s="1"/>
  <c r="H65" i="37" s="1"/>
  <c r="H64" i="34"/>
  <c r="I64" i="34" s="1"/>
  <c r="I71" i="29"/>
  <c r="I67" i="35" l="1"/>
  <c r="H63" i="41"/>
  <c r="I72" i="29"/>
  <c r="G63" i="41"/>
  <c r="I63" i="41" s="1"/>
  <c r="I59" i="42"/>
  <c r="I67" i="38"/>
  <c r="F73" i="23"/>
  <c r="H73" i="23" s="1"/>
  <c r="H74" i="24"/>
  <c r="I73" i="24"/>
  <c r="I74" i="24" s="1"/>
  <c r="D66" i="34"/>
  <c r="E66" i="34" s="1"/>
  <c r="F66" i="34" s="1"/>
  <c r="D69" i="38"/>
  <c r="E69" i="38"/>
  <c r="F69" i="38" s="1"/>
  <c r="B63" i="40"/>
  <c r="G63" i="40"/>
  <c r="I73" i="18"/>
  <c r="I74" i="18" s="1"/>
  <c r="B68" i="38"/>
  <c r="G68" i="38"/>
  <c r="H68" i="38"/>
  <c r="G69" i="31"/>
  <c r="I69" i="31" s="1"/>
  <c r="D72" i="22"/>
  <c r="E72" i="22" s="1"/>
  <c r="F72" i="22" s="1"/>
  <c r="D73" i="22" s="1"/>
  <c r="H68" i="35"/>
  <c r="D69" i="35"/>
  <c r="E69" i="35" s="1"/>
  <c r="F69" i="35" s="1"/>
  <c r="H63" i="40"/>
  <c r="D64" i="40"/>
  <c r="B71" i="22"/>
  <c r="H71" i="22"/>
  <c r="G71" i="22"/>
  <c r="I71" i="22" s="1"/>
  <c r="B65" i="34"/>
  <c r="G65" i="34"/>
  <c r="H65" i="34"/>
  <c r="D66" i="39"/>
  <c r="E66" i="39" s="1"/>
  <c r="F66" i="39" s="1"/>
  <c r="E60" i="42"/>
  <c r="F60" i="42" s="1"/>
  <c r="D61" i="42" s="1"/>
  <c r="B60" i="42"/>
  <c r="H65" i="39"/>
  <c r="H74" i="23"/>
  <c r="B68" i="35"/>
  <c r="G68" i="35"/>
  <c r="G65" i="37"/>
  <c r="I65" i="37" s="1"/>
  <c r="D66" i="37"/>
  <c r="E66" i="37" s="1"/>
  <c r="H72" i="27"/>
  <c r="I72" i="27" s="1"/>
  <c r="D73" i="27"/>
  <c r="E73" i="27" s="1"/>
  <c r="E74" i="27" s="1"/>
  <c r="D70" i="31"/>
  <c r="E64" i="41"/>
  <c r="F64" i="41" s="1"/>
  <c r="B64" i="41"/>
  <c r="I72" i="23"/>
  <c r="F73" i="29"/>
  <c r="G73" i="29" s="1"/>
  <c r="G74" i="29" s="1"/>
  <c r="G73" i="23"/>
  <c r="G74" i="23" s="1"/>
  <c r="G65" i="39"/>
  <c r="G60" i="42" l="1"/>
  <c r="H60" i="42"/>
  <c r="I60" i="42" s="1"/>
  <c r="H73" i="29"/>
  <c r="I68" i="35"/>
  <c r="I68" i="38"/>
  <c r="I63" i="40"/>
  <c r="D70" i="35"/>
  <c r="E70" i="35" s="1"/>
  <c r="F70" i="35" s="1"/>
  <c r="B70" i="31"/>
  <c r="E64" i="40"/>
  <c r="F64" i="40" s="1"/>
  <c r="D65" i="40" s="1"/>
  <c r="B64" i="40"/>
  <c r="B66" i="39"/>
  <c r="H66" i="39"/>
  <c r="E73" i="22"/>
  <c r="E74" i="22" s="1"/>
  <c r="B73" i="22"/>
  <c r="B66" i="34"/>
  <c r="H66" i="34"/>
  <c r="G66" i="34"/>
  <c r="H64" i="41"/>
  <c r="D65" i="41"/>
  <c r="D67" i="34"/>
  <c r="E67" i="34" s="1"/>
  <c r="F67" i="34" s="1"/>
  <c r="B73" i="27"/>
  <c r="F73" i="27"/>
  <c r="H73" i="27" s="1"/>
  <c r="I73" i="23"/>
  <c r="I74" i="23" s="1"/>
  <c r="I65" i="34"/>
  <c r="B72" i="22"/>
  <c r="G72" i="22"/>
  <c r="H72" i="22"/>
  <c r="D70" i="38"/>
  <c r="I73" i="29"/>
  <c r="I74" i="29" s="1"/>
  <c r="H74" i="29"/>
  <c r="G66" i="39"/>
  <c r="D67" i="39"/>
  <c r="F66" i="37"/>
  <c r="G66" i="37" s="1"/>
  <c r="B66" i="37"/>
  <c r="G64" i="41"/>
  <c r="E70" i="31"/>
  <c r="F70" i="31" s="1"/>
  <c r="G70" i="31" s="1"/>
  <c r="I65" i="39"/>
  <c r="E61" i="42"/>
  <c r="F61" i="42" s="1"/>
  <c r="B61" i="42"/>
  <c r="B69" i="35"/>
  <c r="H69" i="35"/>
  <c r="G69" i="35"/>
  <c r="B69" i="38"/>
  <c r="G69" i="38"/>
  <c r="H69" i="38"/>
  <c r="G64" i="40" l="1"/>
  <c r="I69" i="35"/>
  <c r="I72" i="22"/>
  <c r="G73" i="27"/>
  <c r="G74" i="27" s="1"/>
  <c r="G61" i="42"/>
  <c r="D62" i="42"/>
  <c r="E62" i="42" s="1"/>
  <c r="F62" i="42" s="1"/>
  <c r="D63" i="42" s="1"/>
  <c r="H61" i="42"/>
  <c r="D68" i="34"/>
  <c r="E68" i="34" s="1"/>
  <c r="I66" i="39"/>
  <c r="B70" i="38"/>
  <c r="B67" i="34"/>
  <c r="G67" i="34"/>
  <c r="H67" i="34"/>
  <c r="F73" i="22"/>
  <c r="E65" i="40"/>
  <c r="F65" i="40" s="1"/>
  <c r="D66" i="40" s="1"/>
  <c r="B65" i="40"/>
  <c r="D71" i="35"/>
  <c r="B65" i="41"/>
  <c r="D71" i="31"/>
  <c r="H66" i="37"/>
  <c r="I66" i="37" s="1"/>
  <c r="D67" i="37"/>
  <c r="E67" i="37" s="1"/>
  <c r="F67" i="37" s="1"/>
  <c r="I69" i="38"/>
  <c r="I64" i="41"/>
  <c r="E67" i="39"/>
  <c r="F67" i="39" s="1"/>
  <c r="D68" i="39" s="1"/>
  <c r="B67" i="39"/>
  <c r="E70" i="38"/>
  <c r="F70" i="38" s="1"/>
  <c r="H74" i="27"/>
  <c r="E65" i="41"/>
  <c r="F65" i="41" s="1"/>
  <c r="G65" i="41" s="1"/>
  <c r="I66" i="34"/>
  <c r="H64" i="40"/>
  <c r="I64" i="40" s="1"/>
  <c r="H70" i="31"/>
  <c r="I70" i="31" s="1"/>
  <c r="B70" i="35"/>
  <c r="H70" i="35"/>
  <c r="G70" i="35"/>
  <c r="H67" i="39" l="1"/>
  <c r="I73" i="27"/>
  <c r="I74" i="27" s="1"/>
  <c r="I61" i="42"/>
  <c r="I67" i="34"/>
  <c r="B71" i="31"/>
  <c r="D71" i="38"/>
  <c r="E71" i="38" s="1"/>
  <c r="F71" i="38" s="1"/>
  <c r="E63" i="42"/>
  <c r="F63" i="42" s="1"/>
  <c r="H63" i="42" s="1"/>
  <c r="G63" i="42"/>
  <c r="B63" i="42"/>
  <c r="B71" i="35"/>
  <c r="E68" i="39"/>
  <c r="F68" i="39" s="1"/>
  <c r="H68" i="39" s="1"/>
  <c r="B68" i="39"/>
  <c r="G65" i="40"/>
  <c r="H70" i="38"/>
  <c r="G70" i="38"/>
  <c r="F68" i="34"/>
  <c r="G68" i="34" s="1"/>
  <c r="B68" i="34"/>
  <c r="H62" i="42"/>
  <c r="B62" i="42"/>
  <c r="G62" i="42"/>
  <c r="D68" i="37"/>
  <c r="E68" i="37" s="1"/>
  <c r="F68" i="37" s="1"/>
  <c r="E66" i="40"/>
  <c r="F66" i="40" s="1"/>
  <c r="D67" i="40" s="1"/>
  <c r="B66" i="40"/>
  <c r="I70" i="35"/>
  <c r="B67" i="37"/>
  <c r="G67" i="37"/>
  <c r="H67" i="37"/>
  <c r="H73" i="22"/>
  <c r="G73" i="22"/>
  <c r="G74" i="22" s="1"/>
  <c r="H65" i="41"/>
  <c r="I65" i="41" s="1"/>
  <c r="D66" i="41"/>
  <c r="G67" i="39"/>
  <c r="I67" i="39" s="1"/>
  <c r="E71" i="31"/>
  <c r="F71" i="31" s="1"/>
  <c r="E71" i="35"/>
  <c r="F71" i="35" s="1"/>
  <c r="G71" i="35" s="1"/>
  <c r="H65" i="40"/>
  <c r="G68" i="39" l="1"/>
  <c r="G66" i="40"/>
  <c r="I62" i="42"/>
  <c r="H71" i="31"/>
  <c r="D72" i="31"/>
  <c r="E72" i="31" s="1"/>
  <c r="F72" i="31" s="1"/>
  <c r="D73" i="31" s="1"/>
  <c r="B71" i="38"/>
  <c r="H71" i="38"/>
  <c r="G71" i="38"/>
  <c r="D69" i="37"/>
  <c r="E69" i="37" s="1"/>
  <c r="F69" i="37" s="1"/>
  <c r="I68" i="39"/>
  <c r="I73" i="22"/>
  <c r="I74" i="22" s="1"/>
  <c r="H74" i="22"/>
  <c r="E67" i="40"/>
  <c r="F67" i="40" s="1"/>
  <c r="B67" i="40"/>
  <c r="I65" i="40"/>
  <c r="I63" i="42"/>
  <c r="G71" i="31"/>
  <c r="D72" i="35"/>
  <c r="E72" i="35" s="1"/>
  <c r="F72" i="35" s="1"/>
  <c r="H71" i="35"/>
  <c r="I71" i="35" s="1"/>
  <c r="D72" i="38"/>
  <c r="E72" i="38" s="1"/>
  <c r="F72" i="38" s="1"/>
  <c r="D73" i="38" s="1"/>
  <c r="B68" i="37"/>
  <c r="G68" i="37"/>
  <c r="H68" i="37"/>
  <c r="I70" i="38"/>
  <c r="E66" i="41"/>
  <c r="F66" i="41" s="1"/>
  <c r="B66" i="41"/>
  <c r="I67" i="37"/>
  <c r="H66" i="40"/>
  <c r="I66" i="40" s="1"/>
  <c r="H68" i="34"/>
  <c r="I68" i="34" s="1"/>
  <c r="D69" i="34"/>
  <c r="D69" i="39"/>
  <c r="E69" i="39" s="1"/>
  <c r="F69" i="39" s="1"/>
  <c r="D64" i="42"/>
  <c r="I68" i="37" l="1"/>
  <c r="D67" i="41"/>
  <c r="E67" i="41" s="1"/>
  <c r="F67" i="41" s="1"/>
  <c r="H66" i="41"/>
  <c r="G66" i="41"/>
  <c r="I66" i="41" s="1"/>
  <c r="E73" i="31"/>
  <c r="E74" i="31" s="1"/>
  <c r="B73" i="31"/>
  <c r="F73" i="31"/>
  <c r="H73" i="31" s="1"/>
  <c r="G73" i="31"/>
  <c r="G74" i="31" s="1"/>
  <c r="B69" i="34"/>
  <c r="D68" i="40"/>
  <c r="E68" i="40" s="1"/>
  <c r="F68" i="40" s="1"/>
  <c r="E73" i="38"/>
  <c r="E74" i="38" s="1"/>
  <c r="F73" i="38"/>
  <c r="G73" i="38" s="1"/>
  <c r="G74" i="38" s="1"/>
  <c r="B73" i="38"/>
  <c r="B69" i="37"/>
  <c r="H69" i="37"/>
  <c r="G69" i="37"/>
  <c r="H72" i="38"/>
  <c r="G72" i="38"/>
  <c r="H67" i="40"/>
  <c r="B72" i="31"/>
  <c r="H72" i="31"/>
  <c r="G72" i="31"/>
  <c r="B64" i="42"/>
  <c r="D73" i="35"/>
  <c r="E73" i="35" s="1"/>
  <c r="E74" i="35" s="1"/>
  <c r="D70" i="37"/>
  <c r="E70" i="37" s="1"/>
  <c r="F70" i="37" s="1"/>
  <c r="D70" i="39"/>
  <c r="E70" i="39" s="1"/>
  <c r="F70" i="39" s="1"/>
  <c r="G72" i="35"/>
  <c r="H72" i="35"/>
  <c r="B69" i="39"/>
  <c r="G69" i="39"/>
  <c r="H69" i="39"/>
  <c r="E64" i="42"/>
  <c r="F64" i="42" s="1"/>
  <c r="E69" i="34"/>
  <c r="F69" i="34" s="1"/>
  <c r="G67" i="40"/>
  <c r="I71" i="38"/>
  <c r="I71" i="31"/>
  <c r="I69" i="37" l="1"/>
  <c r="D71" i="37"/>
  <c r="E71" i="37" s="1"/>
  <c r="D70" i="34"/>
  <c r="E70" i="34"/>
  <c r="F70" i="34" s="1"/>
  <c r="G69" i="34"/>
  <c r="H69" i="34"/>
  <c r="G64" i="42"/>
  <c r="D65" i="42"/>
  <c r="H64" i="42"/>
  <c r="G68" i="40"/>
  <c r="D69" i="40"/>
  <c r="E69" i="40"/>
  <c r="F69" i="40" s="1"/>
  <c r="D70" i="40" s="1"/>
  <c r="I73" i="31"/>
  <c r="H74" i="31"/>
  <c r="D71" i="39"/>
  <c r="E71" i="39"/>
  <c r="F71" i="39" s="1"/>
  <c r="I67" i="40"/>
  <c r="B73" i="35"/>
  <c r="F73" i="35"/>
  <c r="G73" i="35" s="1"/>
  <c r="G74" i="35" s="1"/>
  <c r="H73" i="35"/>
  <c r="I72" i="35"/>
  <c r="I72" i="31"/>
  <c r="I72" i="38"/>
  <c r="H73" i="38"/>
  <c r="G67" i="41"/>
  <c r="D68" i="41"/>
  <c r="B70" i="39"/>
  <c r="G70" i="39"/>
  <c r="H70" i="39"/>
  <c r="I69" i="39"/>
  <c r="B70" i="37"/>
  <c r="H70" i="37"/>
  <c r="G70" i="37"/>
  <c r="B68" i="40"/>
  <c r="H68" i="40"/>
  <c r="I68" i="40" s="1"/>
  <c r="B67" i="41"/>
  <c r="H67" i="41"/>
  <c r="I67" i="41" s="1"/>
  <c r="I70" i="39" l="1"/>
  <c r="I69" i="34"/>
  <c r="I73" i="35"/>
  <c r="I74" i="35" s="1"/>
  <c r="H74" i="35"/>
  <c r="D72" i="39"/>
  <c r="E72" i="39" s="1"/>
  <c r="F72" i="39" s="1"/>
  <c r="B71" i="39"/>
  <c r="G71" i="39"/>
  <c r="H71" i="39"/>
  <c r="B70" i="34"/>
  <c r="H70" i="34"/>
  <c r="G70" i="34"/>
  <c r="E70" i="40"/>
  <c r="F70" i="40" s="1"/>
  <c r="B70" i="40"/>
  <c r="D71" i="34"/>
  <c r="E71" i="34" s="1"/>
  <c r="F71" i="34" s="1"/>
  <c r="E68" i="41"/>
  <c r="F68" i="41" s="1"/>
  <c r="H68" i="41" s="1"/>
  <c r="B68" i="41"/>
  <c r="E65" i="42"/>
  <c r="F65" i="42" s="1"/>
  <c r="D66" i="42" s="1"/>
  <c r="B65" i="42"/>
  <c r="H69" i="40"/>
  <c r="B69" i="40"/>
  <c r="G69" i="40"/>
  <c r="I70" i="37"/>
  <c r="I73" i="38"/>
  <c r="I74" i="38" s="1"/>
  <c r="H74" i="38"/>
  <c r="I74" i="31"/>
  <c r="I64" i="42"/>
  <c r="B71" i="37"/>
  <c r="F71" i="37"/>
  <c r="G71" i="37" s="1"/>
  <c r="G68" i="41" l="1"/>
  <c r="H71" i="37"/>
  <c r="I71" i="37" s="1"/>
  <c r="I70" i="34"/>
  <c r="G65" i="42"/>
  <c r="I68" i="41"/>
  <c r="I71" i="39"/>
  <c r="D72" i="34"/>
  <c r="E72" i="34" s="1"/>
  <c r="F72" i="34" s="1"/>
  <c r="B71" i="34"/>
  <c r="H71" i="34"/>
  <c r="G71" i="34"/>
  <c r="D71" i="40"/>
  <c r="E71" i="40" s="1"/>
  <c r="H72" i="39"/>
  <c r="G72" i="39"/>
  <c r="D73" i="39"/>
  <c r="D72" i="37"/>
  <c r="E72" i="37" s="1"/>
  <c r="F72" i="37" s="1"/>
  <c r="H65" i="42"/>
  <c r="G70" i="40"/>
  <c r="I69" i="40"/>
  <c r="E66" i="42"/>
  <c r="F66" i="42" s="1"/>
  <c r="D67" i="42" s="1"/>
  <c r="B66" i="42"/>
  <c r="D69" i="41"/>
  <c r="H70" i="40"/>
  <c r="I70" i="40" s="1"/>
  <c r="I65" i="42" l="1"/>
  <c r="I72" i="39"/>
  <c r="I71" i="34"/>
  <c r="B69" i="41"/>
  <c r="D73" i="37"/>
  <c r="H72" i="37"/>
  <c r="G72" i="37"/>
  <c r="H66" i="42"/>
  <c r="I66" i="42" s="1"/>
  <c r="E73" i="39"/>
  <c r="E74" i="39" s="1"/>
  <c r="B73" i="39"/>
  <c r="D73" i="34"/>
  <c r="E73" i="34" s="1"/>
  <c r="E74" i="34" s="1"/>
  <c r="E67" i="42"/>
  <c r="F67" i="42" s="1"/>
  <c r="D68" i="42" s="1"/>
  <c r="B67" i="42"/>
  <c r="G66" i="42"/>
  <c r="F71" i="40"/>
  <c r="B71" i="40"/>
  <c r="E69" i="41"/>
  <c r="F69" i="41" s="1"/>
  <c r="D70" i="41" s="1"/>
  <c r="H72" i="34"/>
  <c r="G72" i="34"/>
  <c r="I72" i="34" l="1"/>
  <c r="G67" i="42"/>
  <c r="D72" i="40"/>
  <c r="E72" i="40" s="1"/>
  <c r="F72" i="40" s="1"/>
  <c r="E68" i="42"/>
  <c r="F68" i="42" s="1"/>
  <c r="D69" i="42" s="1"/>
  <c r="B68" i="42"/>
  <c r="H69" i="41"/>
  <c r="E70" i="41"/>
  <c r="F70" i="41" s="1"/>
  <c r="B70" i="41"/>
  <c r="B73" i="37"/>
  <c r="G71" i="40"/>
  <c r="H71" i="40"/>
  <c r="H67" i="42"/>
  <c r="F73" i="39"/>
  <c r="I72" i="37"/>
  <c r="G69" i="41"/>
  <c r="B73" i="34"/>
  <c r="F73" i="34"/>
  <c r="H73" i="34" s="1"/>
  <c r="E73" i="37"/>
  <c r="E74" i="37" s="1"/>
  <c r="I67" i="42" l="1"/>
  <c r="I69" i="41"/>
  <c r="G73" i="34"/>
  <c r="G74" i="34" s="1"/>
  <c r="D71" i="41"/>
  <c r="E71" i="41" s="1"/>
  <c r="F71" i="41" s="1"/>
  <c r="D72" i="41" s="1"/>
  <c r="H73" i="39"/>
  <c r="G73" i="39"/>
  <c r="G74" i="39" s="1"/>
  <c r="G70" i="41"/>
  <c r="E69" i="42"/>
  <c r="F69" i="42" s="1"/>
  <c r="B69" i="42"/>
  <c r="H70" i="41"/>
  <c r="H68" i="42"/>
  <c r="D73" i="40"/>
  <c r="E73" i="40" s="1"/>
  <c r="E74" i="40" s="1"/>
  <c r="H74" i="34"/>
  <c r="I71" i="40"/>
  <c r="F73" i="37"/>
  <c r="G68" i="42"/>
  <c r="H72" i="40"/>
  <c r="G72" i="40"/>
  <c r="I73" i="34" l="1"/>
  <c r="I74" i="34" s="1"/>
  <c r="I70" i="41"/>
  <c r="D70" i="42"/>
  <c r="E70" i="42"/>
  <c r="F70" i="42" s="1"/>
  <c r="H69" i="42"/>
  <c r="G69" i="42"/>
  <c r="E72" i="41"/>
  <c r="F72" i="41" s="1"/>
  <c r="D73" i="41" s="1"/>
  <c r="I73" i="39"/>
  <c r="I74" i="39" s="1"/>
  <c r="H74" i="39"/>
  <c r="H73" i="37"/>
  <c r="G73" i="37"/>
  <c r="G74" i="37" s="1"/>
  <c r="B73" i="40"/>
  <c r="F73" i="40"/>
  <c r="H73" i="40" s="1"/>
  <c r="B71" i="41"/>
  <c r="G71" i="41"/>
  <c r="H71" i="41"/>
  <c r="I72" i="40"/>
  <c r="I68" i="42"/>
  <c r="G72" i="41" l="1"/>
  <c r="G73" i="40"/>
  <c r="G74" i="40" s="1"/>
  <c r="H72" i="41"/>
  <c r="I72" i="41" s="1"/>
  <c r="I69" i="42"/>
  <c r="H74" i="40"/>
  <c r="I71" i="41"/>
  <c r="I73" i="37"/>
  <c r="I74" i="37" s="1"/>
  <c r="H74" i="37"/>
  <c r="D71" i="42"/>
  <c r="E71" i="42" s="1"/>
  <c r="F71" i="42" s="1"/>
  <c r="E73" i="41"/>
  <c r="E74" i="41" s="1"/>
  <c r="B73" i="41"/>
  <c r="B70" i="42"/>
  <c r="H70" i="42"/>
  <c r="G70" i="42"/>
  <c r="I73" i="40" l="1"/>
  <c r="I74" i="40" s="1"/>
  <c r="F73" i="41"/>
  <c r="H73" i="41" s="1"/>
  <c r="H74" i="41" s="1"/>
  <c r="G73" i="41"/>
  <c r="G74" i="41" s="1"/>
  <c r="D72" i="42"/>
  <c r="E72" i="42" s="1"/>
  <c r="F72" i="42" s="1"/>
  <c r="B71" i="42"/>
  <c r="G71" i="42"/>
  <c r="H71" i="42"/>
  <c r="I70" i="42"/>
  <c r="I71" i="42" l="1"/>
  <c r="I73" i="41"/>
  <c r="I74" i="41" s="1"/>
  <c r="D73" i="42"/>
  <c r="E73" i="42" s="1"/>
  <c r="E74" i="42" s="1"/>
  <c r="G72" i="42"/>
  <c r="H72" i="42"/>
  <c r="I72" i="42" l="1"/>
  <c r="B73" i="42"/>
  <c r="F73" i="42"/>
  <c r="H73" i="42" s="1"/>
  <c r="G73" i="42"/>
  <c r="G74" i="42" s="1"/>
  <c r="I73" i="42" l="1"/>
  <c r="I74" i="42" s="1"/>
  <c r="H74" i="42"/>
</calcChain>
</file>

<file path=xl/comments1.xml><?xml version="1.0" encoding="utf-8"?>
<comments xmlns="http://schemas.openxmlformats.org/spreadsheetml/2006/main">
  <authors>
    <author>R.Pennybaker</author>
    <author>AEP</author>
  </authors>
  <commentList>
    <comment ref="C16" authorId="0" shapeId="0">
      <text>
        <r>
          <rPr>
            <b/>
            <sz val="8"/>
            <color indexed="81"/>
            <rFont val="Tahoma"/>
            <family val="2"/>
          </rPr>
          <t>R.Pennybaker:</t>
        </r>
        <r>
          <rPr>
            <sz val="8"/>
            <color indexed="81"/>
            <rFont val="Tahoma"/>
            <family val="2"/>
          </rPr>
          <t xml:space="preserve">
Project Descriptions are in cell [P.xxx]!$D$7]</t>
        </r>
      </text>
    </comment>
    <comment ref="D16" authorId="0" shapeId="0">
      <text>
        <r>
          <rPr>
            <b/>
            <sz val="8"/>
            <color indexed="81"/>
            <rFont val="Tahoma"/>
            <family val="2"/>
          </rPr>
          <t>R.Pennybaker:</t>
        </r>
        <r>
          <rPr>
            <sz val="8"/>
            <color indexed="81"/>
            <rFont val="Tahoma"/>
            <family val="2"/>
          </rPr>
          <t xml:space="preserve">
Year In Service is in cell [P.xxx]!$D$11]</t>
        </r>
      </text>
    </comment>
    <comment ref="E16" authorId="0" shapeId="0">
      <text>
        <r>
          <rPr>
            <b/>
            <sz val="8"/>
            <color indexed="81"/>
            <rFont val="Tahoma"/>
            <family val="2"/>
          </rPr>
          <t>R.Pennybaker:</t>
        </r>
        <r>
          <rPr>
            <sz val="8"/>
            <color indexed="81"/>
            <rFont val="Tahoma"/>
            <family val="2"/>
          </rPr>
          <t xml:space="preserve">
Projected Base ARR is in cell [P.xxx]!$N$5]</t>
        </r>
      </text>
    </comment>
    <comment ref="F16" authorId="0" shapeId="0">
      <text>
        <r>
          <rPr>
            <b/>
            <sz val="8"/>
            <color indexed="81"/>
            <rFont val="Tahoma"/>
            <family val="2"/>
          </rPr>
          <t>R.Pennybaker:</t>
        </r>
        <r>
          <rPr>
            <sz val="8"/>
            <color indexed="81"/>
            <rFont val="Tahoma"/>
            <family val="2"/>
          </rPr>
          <t xml:space="preserve">
Projected Incentive ARR is in WS-F cell N7.</t>
        </r>
      </text>
    </comment>
    <comment ref="I16" authorId="1" shapeId="0">
      <text>
        <r>
          <rPr>
            <b/>
            <sz val="8"/>
            <color indexed="81"/>
            <rFont val="Tahoma"/>
            <family val="2"/>
          </rPr>
          <t>AEP:</t>
        </r>
        <r>
          <rPr>
            <sz val="8"/>
            <color indexed="81"/>
            <rFont val="Tahoma"/>
            <family val="2"/>
          </rPr>
          <t xml:space="preserve">
"TRUE-UP Adjustment (i.e., Forecast Error) is from WS-G sheet [P.00x] in cell M89.</t>
        </r>
      </text>
    </comment>
    <comment ref="J16" authorId="1" shapeId="0">
      <text>
        <r>
          <rPr>
            <b/>
            <sz val="8"/>
            <color indexed="81"/>
            <rFont val="Tahoma"/>
            <family val="2"/>
          </rPr>
          <t>AEP:</t>
        </r>
        <r>
          <rPr>
            <sz val="8"/>
            <color indexed="81"/>
            <rFont val="Tahoma"/>
            <family val="2"/>
          </rPr>
          <t xml:space="preserve">
"Manually input from previous year's update "</t>
        </r>
        <r>
          <rPr>
            <i/>
            <sz val="8"/>
            <color indexed="81"/>
            <rFont val="Tahoma"/>
            <family val="2"/>
          </rPr>
          <t>Schedule 11 Rates by Project</t>
        </r>
        <r>
          <rPr>
            <sz val="8"/>
            <color indexed="81"/>
            <rFont val="Tahoma"/>
            <family val="2"/>
          </rPr>
          <t>" sheet.</t>
        </r>
      </text>
    </comment>
    <comment ref="K16" authorId="0" shapeId="0">
      <text>
        <r>
          <rPr>
            <b/>
            <sz val="8"/>
            <color indexed="81"/>
            <rFont val="Tahoma"/>
            <family val="2"/>
          </rPr>
          <t>MW:</t>
        </r>
        <r>
          <rPr>
            <sz val="8"/>
            <color indexed="81"/>
            <rFont val="Tahoma"/>
            <family val="2"/>
          </rPr>
          <t xml:space="preserve">
These values reflect what AEP booked for the calendar year 2012 for base plan revenues received from SPP.</t>
        </r>
      </text>
    </comment>
    <comment ref="L16" authorId="0" shapeId="0">
      <text>
        <r>
          <rPr>
            <b/>
            <sz val="8"/>
            <color indexed="81"/>
            <rFont val="Tahoma"/>
            <family val="2"/>
          </rPr>
          <t>R.Pennybaker:</t>
        </r>
        <r>
          <rPr>
            <sz val="8"/>
            <color indexed="81"/>
            <rFont val="Tahoma"/>
            <family val="2"/>
          </rPr>
          <t xml:space="preserve">
This can also be referred to as the Billing Error.</t>
        </r>
      </text>
    </comment>
    <comment ref="N16" authorId="1" shapeId="0">
      <text>
        <r>
          <rPr>
            <b/>
            <sz val="8"/>
            <color indexed="81"/>
            <rFont val="Tahoma"/>
            <family val="2"/>
          </rPr>
          <t>AEP:</t>
        </r>
        <r>
          <rPr>
            <sz val="8"/>
            <color indexed="81"/>
            <rFont val="Tahoma"/>
            <family val="2"/>
          </rPr>
          <t xml:space="preserve">
This is "Prior Year True-Up (WS-G)"; and "Incentive Amounts" O88</t>
        </r>
      </text>
    </comment>
    <comment ref="O16" authorId="1" shapeId="0">
      <text>
        <r>
          <rPr>
            <b/>
            <sz val="8"/>
            <color indexed="81"/>
            <rFont val="Tahoma"/>
            <family val="2"/>
          </rPr>
          <t>AEP:</t>
        </r>
        <r>
          <rPr>
            <sz val="8"/>
            <color indexed="81"/>
            <rFont val="Tahoma"/>
            <family val="2"/>
          </rPr>
          <t xml:space="preserve">
Prior Year Projected (WS-F) and Incentive Amounts [cell O87]</t>
        </r>
      </text>
    </comment>
    <comment ref="C21" authorId="1" shapeId="0">
      <text>
        <r>
          <rPr>
            <b/>
            <sz val="9"/>
            <color indexed="81"/>
            <rFont val="Tahoma"/>
            <family val="2"/>
          </rPr>
          <t xml:space="preserve">AEP:
</t>
        </r>
        <r>
          <rPr>
            <sz val="9"/>
            <color indexed="81"/>
            <rFont val="Tahoma"/>
            <family val="2"/>
          </rPr>
          <t xml:space="preserve">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K42" authorId="0" shapeId="0">
      <text>
        <r>
          <rPr>
            <b/>
            <sz val="8"/>
            <color indexed="81"/>
            <rFont val="Tahoma"/>
            <family val="2"/>
          </rPr>
          <t>R.Pennybaker:</t>
        </r>
        <r>
          <rPr>
            <sz val="8"/>
            <color indexed="81"/>
            <rFont val="Tahoma"/>
            <family val="2"/>
          </rPr>
          <t xml:space="preserve">
This value ties to interest worksheet.  </t>
        </r>
      </text>
    </comment>
  </commentList>
</comments>
</file>

<file path=xl/comments2.xml><?xml version="1.0" encoding="utf-8"?>
<comments xmlns="http://schemas.openxmlformats.org/spreadsheetml/2006/main">
  <authors>
    <author>R.Pennybaker</author>
  </authors>
  <commentList>
    <comment ref="L19" authorId="0" shapeId="0">
      <text>
        <r>
          <rPr>
            <b/>
            <sz val="8"/>
            <color indexed="81"/>
            <rFont val="Tahoma"/>
            <family val="2"/>
          </rPr>
          <t>R.Pennybaker:</t>
        </r>
        <r>
          <rPr>
            <sz val="8"/>
            <color indexed="81"/>
            <rFont val="Tahoma"/>
            <family val="2"/>
          </rPr>
          <t xml:space="preserve">
This value comes from Formula Template file via data INPUT table below.  Then, it supuplies the project year value to the P.xxx sheets.</t>
        </r>
      </text>
    </comment>
  </commentList>
</comments>
</file>

<file path=xl/comments3.xml><?xml version="1.0" encoding="utf-8"?>
<comments xmlns="http://schemas.openxmlformats.org/spreadsheetml/2006/main">
  <authors>
    <author>R.Pennybaker</author>
  </authors>
  <commentList>
    <comment ref="M16" authorId="0" shapeId="0">
      <text>
        <r>
          <rPr>
            <b/>
            <sz val="8"/>
            <color indexed="81"/>
            <rFont val="Tahoma"/>
            <family val="2"/>
          </rPr>
          <t>R.Pennybaker:</t>
        </r>
        <r>
          <rPr>
            <sz val="8"/>
            <color indexed="81"/>
            <rFont val="Tahoma"/>
            <family val="2"/>
          </rPr>
          <t xml:space="preserve">
This cell comes from Formula Template file.  Then, it drives all the P.xxx sheets.</t>
        </r>
      </text>
    </comment>
  </commentList>
</comments>
</file>

<file path=xl/comments4.xml><?xml version="1.0" encoding="utf-8"?>
<comments xmlns="http://schemas.openxmlformats.org/spreadsheetml/2006/main">
  <authors>
    <author>AEP</author>
  </authors>
  <commentList>
    <comment ref="D10" authorId="0" shapeId="0">
      <text>
        <r>
          <rPr>
            <b/>
            <sz val="9"/>
            <color indexed="81"/>
            <rFont val="Tahoma"/>
            <family val="2"/>
          </rPr>
          <t>AEP:</t>
        </r>
        <r>
          <rPr>
            <sz val="9"/>
            <color indexed="81"/>
            <rFont val="Tahoma"/>
            <family val="2"/>
          </rPr>
          <t xml:space="preserve">
Per SPP NTC, Investment (EOY) is input as 94% of actual total investment provided by Planning.</t>
        </r>
      </text>
    </comment>
  </commentList>
</comments>
</file>

<file path=xl/sharedStrings.xml><?xml version="1.0" encoding="utf-8"?>
<sst xmlns="http://schemas.openxmlformats.org/spreadsheetml/2006/main" count="3104" uniqueCount="325">
  <si>
    <t>I.</t>
  </si>
  <si>
    <t xml:space="preserve">   Project ROE Incentive Adder (Enter as whole number)</t>
  </si>
  <si>
    <t>&lt;==Incentive ROE  Cannot Exceed 12.45%</t>
  </si>
  <si>
    <t xml:space="preserve">   Determine R  ( cost of long term debt, cost of preferred stock and percent is from Attachment H, lns 158 through160)</t>
  </si>
  <si>
    <t>SUMMARY OF PROJECTED ANNUAL BASE PLAN AND  NON-BASE PLAN REVENUE REQUIREMENTS</t>
  </si>
  <si>
    <t>%</t>
  </si>
  <si>
    <t>Cost</t>
  </si>
  <si>
    <t>Weighted cost</t>
  </si>
  <si>
    <t>Long Term Debt</t>
  </si>
  <si>
    <t>Rev Require</t>
  </si>
  <si>
    <t xml:space="preserve"> W Incentives</t>
  </si>
  <si>
    <t>Incentive Amounts</t>
  </si>
  <si>
    <t>Preferred Stock</t>
  </si>
  <si>
    <t>Common Stock</t>
  </si>
  <si>
    <t>PROJECTED YEAR</t>
  </si>
  <si>
    <t>R =</t>
  </si>
  <si>
    <r>
      <t xml:space="preserve">Note:  </t>
    </r>
    <r>
      <rPr>
        <sz val="10"/>
        <rFont val="Arial"/>
        <family val="2"/>
      </rPr>
      <t xml:space="preserve">Review formulas in summary to ensure the proper year's revenue requirement is being </t>
    </r>
  </si>
  <si>
    <t>accumulated for each project from the tables below.</t>
  </si>
  <si>
    <t xml:space="preserve">   R   (fom A. above)</t>
  </si>
  <si>
    <t xml:space="preserve">   Return (Rate Base  x  R)</t>
  </si>
  <si>
    <t xml:space="preserve">   Return   (from B. above)</t>
  </si>
  <si>
    <t xml:space="preserve">   EIT=(T/(1-T)) * (1-(WCLTD/WACC)) =</t>
  </si>
  <si>
    <t xml:space="preserve">   Income Tax Calculation  (Return  x  EIT)</t>
  </si>
  <si>
    <t xml:space="preserve">   Income Taxes</t>
  </si>
  <si>
    <t>II.</t>
  </si>
  <si>
    <t xml:space="preserve">   Net Revenue Requirement, Less Return and Taxes</t>
  </si>
  <si>
    <t xml:space="preserve">   Income Taxes  (from I.C. above)</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</si>
  <si>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</si>
  <si>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</si>
  <si>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</si>
  <si>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</si>
  <si>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</si>
  <si>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</si>
  <si>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</si>
  <si>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</si>
  <si>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III.</t>
  </si>
  <si>
    <t>Calculation of Composite Depreciation Rate</t>
  </si>
  <si>
    <t>Transmission Plant @ Beginning of Period (P.206, ln 58)</t>
  </si>
  <si>
    <t>Transmission Plant @ End of Period (P.207, ln 58)</t>
  </si>
  <si>
    <t>Composite Depreciation Rate</t>
  </si>
  <si>
    <t>Depreciable Life for Composite Depreciation Rate</t>
  </si>
  <si>
    <t>Round to nearest whole year</t>
  </si>
  <si>
    <t>IV.</t>
  </si>
  <si>
    <t>Determine the Revenue Requirement &amp; Additional Revenue Requirement for facilities receiving incentives.</t>
  </si>
  <si>
    <t>A.   Facilities receiving incentives accepted by FERC in Docket No.</t>
  </si>
  <si>
    <t xml:space="preserve">   (e.g. ER05-925-000)</t>
  </si>
  <si>
    <t xml:space="preserve">Project Description: </t>
  </si>
  <si>
    <t>Current Projected Year Incentive ARR</t>
  </si>
  <si>
    <t>DETAILS</t>
  </si>
  <si>
    <t>Investment</t>
  </si>
  <si>
    <t>Current Year</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</si>
  <si>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</si>
  <si>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</si>
  <si>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</si>
  <si>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</si>
  <si>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</si>
  <si>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</si>
  <si>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</si>
  <si>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</si>
  <si>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</si>
  <si>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</si>
  <si>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No</t>
  </si>
  <si>
    <t>Annual Depreciation Expense</t>
  </si>
  <si>
    <t>Depreciation</t>
  </si>
  <si>
    <t>Ending</t>
  </si>
  <si>
    <t>Additional Rev.</t>
  </si>
  <si>
    <t>Project Rev Req't True-up</t>
  </si>
  <si>
    <t>True-up of Incentive</t>
  </si>
  <si>
    <t>Year</t>
  </si>
  <si>
    <t>Balance</t>
  </si>
  <si>
    <t>Expense</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</si>
  <si>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</si>
  <si>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</si>
  <si>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</si>
  <si>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</si>
  <si>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</si>
  <si>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</si>
  <si>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</si>
  <si>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TP2004033</t>
  </si>
  <si>
    <t>SUMMARY OF TRUED-UP ANNUAL REVENUE REQUIREMENTS FOR SPP BPU &amp; NON-BPU PROJECTS</t>
  </si>
  <si>
    <t>TRUE-UP YEAR</t>
  </si>
  <si>
    <t>Determine the Revenue Requirement, and Additional Revenue Requirement for facilities receiving incentives.</t>
  </si>
  <si>
    <t>Project Description:</t>
  </si>
  <si>
    <t>Details</t>
  </si>
  <si>
    <t>True-Up Year</t>
  </si>
  <si>
    <t>CUMMULATIVE HISTORY OF TRUED-UP ANNUAL REVENUE REQUIREMENTS:</t>
  </si>
  <si>
    <t xml:space="preserve">          TEMPLATE BELOW TO MAINTAIN HISTORY OF TRUED-UP ARRS OVER THE </t>
  </si>
  <si>
    <t>Average</t>
  </si>
  <si>
    <t>Incentive Rev.</t>
  </si>
  <si>
    <t>BPU Rev Req't True-up</t>
  </si>
  <si>
    <r>
      <t xml:space="preserve">** </t>
    </r>
    <r>
      <rPr>
        <sz val="10"/>
        <rFont val="Arial"/>
        <family val="2"/>
      </rPr>
      <t xml:space="preserve"> This is the total amount that needs to be reported to SPP for billing to all regions. </t>
    </r>
  </si>
  <si>
    <t>BPU Rev. Req't.From Prior Year Template</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</si>
  <si>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</si>
  <si>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</si>
  <si>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</si>
  <si>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t>
    </r>
    <r>
      <rPr>
        <b/>
        <sz val="10"/>
        <rFont val="Arial"/>
        <family val="2"/>
      </rPr>
      <t xml:space="preserve"> This is the calculation of  additional incentive revenue on projects deemed by the FERC to be eligible for an incentive return.  This</t>
    </r>
  </si>
  <si>
    <r>
      <t xml:space="preserve">## </t>
    </r>
    <r>
      <rPr>
        <b/>
        <sz val="10"/>
        <color indexed="8"/>
        <rFont val="Arial"/>
        <family val="2"/>
      </rPr>
      <t>This is the calculation of  additional incentive revenue on projects deemed by the FERC to be eligible for an incentive return.  This</t>
    </r>
  </si>
  <si>
    <t>Long Term Debt %</t>
  </si>
  <si>
    <t>Long Term Debt Cost</t>
  </si>
  <si>
    <t>Preferred Stock %</t>
  </si>
  <si>
    <t>Preferred Stock Cost</t>
  </si>
  <si>
    <t>Common Stock %</t>
  </si>
  <si>
    <t>STEP 2</t>
  </si>
  <si>
    <t>STEP 3</t>
  </si>
  <si>
    <t xml:space="preserve">       Apportionment Factor to Texas (Worksheet K, ln 12)</t>
  </si>
  <si>
    <t>Black text is not used in this workbook.</t>
  </si>
  <si>
    <t>Blue text is used by this workbbok and driven by non WS-F Formula Rate template worksheets</t>
  </si>
  <si>
    <t>SEE INPUT/OUTPUT ranges to the right  ----&gt;</t>
  </si>
  <si>
    <t>SEE INPUT/OUTPUT ranges to the right  ------&gt;</t>
  </si>
  <si>
    <t xml:space="preserve">AEP West SPP Member Companies </t>
  </si>
  <si>
    <t>See INPUT/OUTPUT ranges below.</t>
  </si>
  <si>
    <t>STEP 1</t>
  </si>
  <si>
    <t>Is done first in the main Formula Rate template  Worksheet F.</t>
  </si>
  <si>
    <t>STEP 4</t>
  </si>
  <si>
    <t>Is done last in the main Formula Rate template  Worksheet F.</t>
  </si>
  <si>
    <t>Copy to main FR Template</t>
  </si>
  <si>
    <t>Project Description</t>
  </si>
  <si>
    <t>Is done first in the main Formula Rate template  Worksheet G.</t>
  </si>
  <si>
    <t>Is done last in the main Formula Rate template  Worksheet G.</t>
  </si>
  <si>
    <t>Blue text below is used by this workbbok and comes from main Formula Rate template WS-G sheet.</t>
  </si>
  <si>
    <t>As Projected in Prior Year WS F   Rev Require</t>
  </si>
  <si>
    <t>As Projected in Prior Year WS F    W Incentives</t>
  </si>
  <si>
    <t>Actual after True-up Rev Require</t>
  </si>
  <si>
    <t>Actual after True-up  W Incentives</t>
  </si>
  <si>
    <r>
      <t>Worksheet F</t>
    </r>
    <r>
      <rPr>
        <sz val="14"/>
        <rFont val="Arial"/>
        <family val="2"/>
      </rPr>
      <t xml:space="preserve"> - Calculation of PROJECTED Annual Revenue Requirement for BPU and Special-billed Projects</t>
    </r>
  </si>
  <si>
    <r>
      <t>Worksheet G</t>
    </r>
    <r>
      <rPr>
        <sz val="14"/>
        <rFont val="Arial"/>
        <family val="2"/>
      </rPr>
      <t xml:space="preserve"> - Calculation of TRUED-UP Annual Revenue Requirement for BPU and Special-billed Projects</t>
    </r>
  </si>
  <si>
    <t xml:space="preserve">Worksheet F </t>
  </si>
  <si>
    <t>&lt;----Worksheet data is for</t>
  </si>
  <si>
    <t>Worksheet F</t>
  </si>
  <si>
    <t>Worksheet G</t>
  </si>
  <si>
    <r>
      <t>##</t>
    </r>
    <r>
      <rPr>
        <sz val="10"/>
        <rFont val="Arial"/>
        <family val="2"/>
      </rPr>
      <t xml:space="preserve"> </t>
    </r>
    <r>
      <rPr>
        <b/>
        <sz val="10"/>
        <color indexed="8"/>
        <rFont val="Arial"/>
        <family val="2"/>
      </rPr>
      <t>This is the calculation of  additional incentive revenue on projects deemed by the FERC to be eligible for an incentive return.  This</t>
    </r>
  </si>
  <si>
    <t xml:space="preserve">(Worksheet F)    </t>
  </si>
  <si>
    <t xml:space="preserve">(Worksheet G)    </t>
  </si>
  <si>
    <t>basis points</t>
  </si>
  <si>
    <t>w/Incentives</t>
  </si>
  <si>
    <t xml:space="preserve">True-Up Adjustment  </t>
  </si>
  <si>
    <t>AEP Transmission Formula Rate Template</t>
  </si>
  <si>
    <t xml:space="preserve">AEP Schedule 11 Revenue Requirement Including True-Up of Prior Collections </t>
  </si>
  <si>
    <t>(A)</t>
  </si>
  <si>
    <t>(B)</t>
  </si>
  <si>
    <t>(C )</t>
  </si>
  <si>
    <t>(D)</t>
  </si>
  <si>
    <t>(E)</t>
  </si>
  <si>
    <t>(F)</t>
  </si>
  <si>
    <t>(H)</t>
  </si>
  <si>
    <t>(I)</t>
  </si>
  <si>
    <t>(M)</t>
  </si>
  <si>
    <t>Base ARR</t>
  </si>
  <si>
    <t>Owner</t>
  </si>
  <si>
    <t>Year in Service</t>
  </si>
  <si>
    <t>Incentive</t>
  </si>
  <si>
    <t>Total</t>
  </si>
  <si>
    <t>True-up</t>
  </si>
  <si>
    <t>As Billed</t>
  </si>
  <si>
    <t>Change</t>
  </si>
  <si>
    <t>Interest</t>
  </si>
  <si>
    <t>Sheet Name</t>
  </si>
  <si>
    <t>AEP TOTALS</t>
  </si>
  <si>
    <t>Indirect References</t>
  </si>
  <si>
    <r>
      <t xml:space="preserve">Calculation of Schedule </t>
    </r>
    <r>
      <rPr>
        <sz val="12"/>
        <rFont val="Arial"/>
        <family val="2"/>
      </rPr>
      <t>11 Revenue Requirements For AEP Transmission Projects</t>
    </r>
  </si>
  <si>
    <r>
      <t xml:space="preserve">   DO </t>
    </r>
    <r>
      <rPr>
        <b/>
        <sz val="10"/>
        <color indexed="10"/>
        <rFont val="Arial"/>
        <family val="2"/>
      </rPr>
      <t>NOT</t>
    </r>
    <r>
      <rPr>
        <b/>
        <sz val="10"/>
        <rFont val="Arial"/>
        <family val="2"/>
      </rPr>
      <t xml:space="preserve"> delete this row or the formulas above will not work.</t>
    </r>
  </si>
  <si>
    <t>from WS-F &amp; G</t>
  </si>
  <si>
    <t>Do NOT delete.</t>
  </si>
  <si>
    <r>
      <t xml:space="preserve">TRUE-UP Adjustment </t>
    </r>
    <r>
      <rPr>
        <sz val="10"/>
        <rFont val="Arial"/>
        <family val="2"/>
      </rPr>
      <t>(WS-G)</t>
    </r>
  </si>
  <si>
    <r>
      <t xml:space="preserve">Base ARR
</t>
    </r>
    <r>
      <rPr>
        <sz val="10"/>
        <rFont val="Arial"/>
        <family val="2"/>
      </rPr>
      <t>(WS-F)</t>
    </r>
  </si>
  <si>
    <t>COLLECTION Adjustment</t>
  </si>
  <si>
    <t>Incentive ARR</t>
  </si>
  <si>
    <t>(J)</t>
  </si>
  <si>
    <t>(L)</t>
  </si>
  <si>
    <t>(O)</t>
  </si>
  <si>
    <t>Total Adjustments before Interest</t>
  </si>
  <si>
    <t>the column above</t>
  </si>
  <si>
    <t>is used to feed interest</t>
  </si>
  <si>
    <t>calculation engine and its</t>
  </si>
  <si>
    <t>output is put into the interest</t>
  </si>
  <si>
    <t>column to left (O).</t>
  </si>
  <si>
    <t>PROJECTED Rev. Req't From Prior Year Template</t>
  </si>
  <si>
    <t>TRUE-UP Rev. Req't.From Prior Year Template</t>
  </si>
  <si>
    <t xml:space="preserve"> Worksheet G</t>
  </si>
  <si>
    <r>
      <t xml:space="preserve">As Billed
by SPP
</t>
    </r>
    <r>
      <rPr>
        <sz val="10"/>
        <rFont val="Arial"/>
        <family val="2"/>
      </rPr>
      <t>(for Prior Yr
T-Service)</t>
    </r>
  </si>
  <si>
    <t xml:space="preserve"> &lt;--- this value goes to sched 11 interest support file</t>
  </si>
  <si>
    <r>
      <t xml:space="preserve">Total Adjustments
</t>
    </r>
    <r>
      <rPr>
        <sz val="8"/>
        <rFont val="Arial"/>
        <family val="2"/>
      </rPr>
      <t>(True-Up, Billing, &amp; Interest)</t>
    </r>
  </si>
  <si>
    <t>OKT</t>
  </si>
  <si>
    <t>OKT Total</t>
  </si>
  <si>
    <t>Worksheet F --- DATA INPUT (Paste.Values) from TEMPLATE OKT WS F</t>
  </si>
  <si>
    <t>EXPORT DATA to Template OKT WS F</t>
  </si>
  <si>
    <t>DATA INPUT (Paste.Values) from main FR TEMPLATE OKT WS G</t>
  </si>
  <si>
    <t>EXPORT DATA to main FR Template OKT WS G</t>
  </si>
  <si>
    <t>OKLAHOMA TRANSMISSION COMPANY</t>
  </si>
  <si>
    <t>Worksheet F  --  OKLAHOMA TRANSMISSION COMPANY  --  Calculation of "Projected" ARR for SPP Base Plan Upgrade Projects</t>
  </si>
  <si>
    <t>Worksheet G  --  OKLAHOMA TRANSMISSION COMPANY  --  Calculation of "Trued-Up" ARR for SPP Base Plan Upgrade Projects</t>
  </si>
  <si>
    <t>Snyder 138 kV Terminal Addition</t>
  </si>
  <si>
    <t>Coffeyville T to Dearing 138 kV Rebuild - 1.1 miles</t>
  </si>
  <si>
    <t>Historic / Projected Beginning</t>
  </si>
  <si>
    <t>OKT.001</t>
  </si>
  <si>
    <t>OKT.002</t>
  </si>
  <si>
    <t>TP2009013</t>
  </si>
  <si>
    <t>TP2008013</t>
  </si>
  <si>
    <t>TP2009090</t>
  </si>
  <si>
    <t>Tulsa Power Station Reactor</t>
  </si>
  <si>
    <t>TP2008079</t>
  </si>
  <si>
    <t xml:space="preserve">Bartlesville SE to Coffeyville T Rebuild </t>
  </si>
  <si>
    <t>OKT.003</t>
  </si>
  <si>
    <t>OKT.004</t>
  </si>
  <si>
    <t>TP2007167</t>
  </si>
  <si>
    <t>TP2009095</t>
  </si>
  <si>
    <t xml:space="preserve">Canadian River - McAlester City 138 kV Line Conversion </t>
  </si>
  <si>
    <t>OKT.005</t>
  </si>
  <si>
    <t>OKT.006</t>
  </si>
  <si>
    <t>NOTE:  Project became BPU inligible (see Docket ER12-981) thus investment amout and Proj Beg Balance for 2013 forward set to $0.</t>
  </si>
  <si>
    <t>NOTE:  Project became BPU inligible (see Docket ER12-981) please see Note on Project's WS-F.  No changes made to this WS-G.</t>
  </si>
  <si>
    <t>Install 345kV terminal at Valliant***</t>
  </si>
  <si>
    <t>*&lt;$100K investment  *** Project became BPU ineligible (see Project's Notes)</t>
  </si>
  <si>
    <t>TP2011093</t>
  </si>
  <si>
    <t xml:space="preserve">Cornville Station Conversion </t>
  </si>
  <si>
    <t>Coweta 69 kV Capacitor</t>
  </si>
  <si>
    <t>OKT.007</t>
  </si>
  <si>
    <t>OKT.008</t>
  </si>
  <si>
    <t>TP2012141</t>
  </si>
  <si>
    <t>TP2010094</t>
  </si>
  <si>
    <t>Prattville-Bluebell 138 kV</t>
  </si>
  <si>
    <t>TP2013002</t>
  </si>
  <si>
    <t>Grady Customer Connection</t>
  </si>
  <si>
    <t>TP2012112</t>
  </si>
  <si>
    <t>Darlington-Red Rock 138 kV line</t>
  </si>
  <si>
    <t>OKT.009</t>
  </si>
  <si>
    <t>OKT.010</t>
  </si>
  <si>
    <t>OKT.011</t>
  </si>
  <si>
    <t>OKT.012</t>
  </si>
  <si>
    <t>Wapanucka Customer Connection</t>
  </si>
  <si>
    <t>***Sch. 11 recovery commenced in 2015 rate year***</t>
  </si>
  <si>
    <t>Ellis 138 kV</t>
  </si>
  <si>
    <t>TP2012055</t>
  </si>
  <si>
    <t>OKT.013</t>
  </si>
  <si>
    <t>Valliant-NW Texarkana 345 kV</t>
  </si>
  <si>
    <t>TP 2009089</t>
  </si>
  <si>
    <t>OKT.014</t>
  </si>
  <si>
    <t>NOTE:  Original NTC indicates only 94% to be Base Plan.</t>
  </si>
  <si>
    <t>&lt;&lt; 2016-present ARR values based on 94% actual cost.  Yrs 2011-15 ARR values based on 100% actual cost (SPP scaled ARR data) &gt;&gt;</t>
  </si>
  <si>
    <t>OKT.015</t>
  </si>
  <si>
    <t>A.   Determine Net Revenue Requirement less return and Income Taxes.</t>
  </si>
  <si>
    <t>&lt;==From Input on Worksheet A</t>
  </si>
  <si>
    <t>Current Projected Year ARR</t>
  </si>
  <si>
    <t>Current Projected Year ARR w/ Incentive</t>
  </si>
  <si>
    <t>Darlington Roman Nose 138 kv</t>
  </si>
  <si>
    <t>insert project name here</t>
  </si>
  <si>
    <t>Carnegie South-Southwestern 123 kv line rebuild</t>
  </si>
  <si>
    <t>Chisholm - Gracemont 345 kv line and station</t>
  </si>
  <si>
    <t>OKT.016</t>
  </si>
  <si>
    <t>OKT.017</t>
  </si>
  <si>
    <t>Paste in both column below - numbers and line descriptions</t>
  </si>
  <si>
    <t>Beg/Ending 
Average
Revenue</t>
  </si>
  <si>
    <t>Beg/Ending
Average
Revenue Req't.</t>
  </si>
  <si>
    <t xml:space="preserve">True Up Year Projected  (WS-F)  </t>
  </si>
  <si>
    <t xml:space="preserve">True-Up Year Actual (WS-G)  </t>
  </si>
  <si>
    <t xml:space="preserve">∑ True-Up Year Projected  (WS-F)  </t>
  </si>
  <si>
    <t xml:space="preserve">∑ True Up Year Actual  (WS-G)  </t>
  </si>
  <si>
    <t xml:space="preserve">       Taxable Percentage of Revenue (22%)</t>
  </si>
  <si>
    <t>Annual Depreciation Expense  (Historic TCOS, ln 259)</t>
  </si>
  <si>
    <t>Note 1:  Until OKLAHOMA TRANSMISSION COMPANY establishes Transmission plant in service the depreciation expense component of the carrying charge will be calculated as in the Operating Company formula approved in Docket No. ER07-1069.  The calculation for OKLAHOMA TRANSMISSION COMPANY is based on Plant Balances and Depreciation Expense for PSO and shown on lines 8 through 14 of Worksheet B.</t>
  </si>
  <si>
    <t>TP 2015027</t>
  </si>
  <si>
    <t>TP 2014207</t>
  </si>
  <si>
    <t>TP 2011150</t>
  </si>
  <si>
    <t>Duncan-Comanche Tap 69 KV Rebuild</t>
  </si>
  <si>
    <t>OKT.018</t>
  </si>
  <si>
    <t>TP 2015191</t>
  </si>
  <si>
    <t>Note - This project was expected to be completed and then sold to WFEC during 2017, but will not be sold till late 2018.</t>
  </si>
  <si>
    <t>Projected Adjusted ARR from Prior Update</t>
  </si>
  <si>
    <t>TP2015204</t>
  </si>
  <si>
    <t>Fort Towson-Valliant 69 KV Line Rebuild</t>
  </si>
  <si>
    <t xml:space="preserve">   ROE w/o incentives  (TCOS, ln 143)</t>
  </si>
  <si>
    <t xml:space="preserve">   Rate Base  (TCOS, ln 63)</t>
  </si>
  <si>
    <t xml:space="preserve">   Tax Rate  (TCOS, ln 99)</t>
  </si>
  <si>
    <t xml:space="preserve">   ITC Adjustment  (TCOS, ln 108)</t>
  </si>
  <si>
    <t xml:space="preserve">   Excess DFIT Adjustment  (TCOS, ln 109)</t>
  </si>
  <si>
    <t xml:space="preserve">   Tax Effect of Permanent and Flow Through Differences (TCOS, ln 110)</t>
  </si>
  <si>
    <t xml:space="preserve">   Net Revenue Requirement  (TCOS, ln 117)</t>
  </si>
  <si>
    <t xml:space="preserve">   Return  (TCOS, ln 112)</t>
  </si>
  <si>
    <t xml:space="preserve">   Income Taxes  (TCOS, ln 111)</t>
  </si>
  <si>
    <t xml:space="preserve">  Gross Margin Taxes  (TCOS, ln 116)</t>
  </si>
  <si>
    <t xml:space="preserve">   Less: Depreciation  (TCOS, ln 86)</t>
  </si>
  <si>
    <t xml:space="preserve">   Net Transmission Plant  (TCOS, ln 37)</t>
  </si>
  <si>
    <t xml:space="preserve">   FCR less Depreciation  (TCOS, ln 10)</t>
  </si>
  <si>
    <t>Annual Depreciation Expense  (TCOS, ln 86)</t>
  </si>
  <si>
    <t xml:space="preserve">Transmission Plant Average Balance </t>
  </si>
  <si>
    <t>Projected Year</t>
  </si>
  <si>
    <t xml:space="preserve">   Tax Effect of Permanent and Flow Through Differences  (TCOS, ln 110)</t>
  </si>
  <si>
    <t>OKT.019</t>
  </si>
  <si>
    <t xml:space="preserve"> </t>
  </si>
  <si>
    <t>Keystone Dam - Wekiwa 138 kV</t>
  </si>
  <si>
    <t>OKT.020</t>
  </si>
  <si>
    <t>TP2015027</t>
  </si>
  <si>
    <t>TP2015118</t>
  </si>
  <si>
    <t xml:space="preserve">  SPP Project ID = 30809</t>
  </si>
  <si>
    <t xml:space="preserve">  SPP Project ID = 31058</t>
  </si>
  <si>
    <t xml:space="preserve">  SPP Project ID = 31009</t>
  </si>
  <si>
    <t xml:space="preserve">  SPP Project ID = 30361</t>
  </si>
  <si>
    <t xml:space="preserve">  SPP Project ID = 30873</t>
  </si>
  <si>
    <t xml:space="preserve">  SPP Project ID = 30619</t>
  </si>
  <si>
    <t xml:space="preserve">  SPP Project ID = 936</t>
  </si>
  <si>
    <t xml:space="preserve">  SPP Project ID = 30746</t>
  </si>
  <si>
    <t xml:space="preserve">  SPP Project ID = 30770</t>
  </si>
  <si>
    <t xml:space="preserve">  SPP Project ID = 30748</t>
  </si>
  <si>
    <t xml:space="preserve">  SPP Project ID = 30750</t>
  </si>
  <si>
    <t xml:space="preserve">  SPP Project ID = 879</t>
  </si>
  <si>
    <t xml:space="preserve">  SPP Project ID = 30354</t>
  </si>
  <si>
    <t xml:space="preserve">  SPP Project ID = 30346</t>
  </si>
  <si>
    <t xml:space="preserve">  SPP Project ID = 767</t>
  </si>
  <si>
    <t xml:space="preserve">  SPP Project ID = 288</t>
  </si>
  <si>
    <t xml:space="preserve">  SPP Project ID = 446</t>
  </si>
  <si>
    <t xml:space="preserve">  SPP Project ID = 937</t>
  </si>
  <si>
    <t xml:space="preserve">  SPP Project ID = 295</t>
  </si>
  <si>
    <t xml:space="preserve">  SPP Project ID = 480</t>
  </si>
  <si>
    <t>OKT.021</t>
  </si>
  <si>
    <t>OKT.022</t>
  </si>
  <si>
    <t>OKT.023</t>
  </si>
  <si>
    <t>Tulsa SE - S Hudson 138 kV</t>
  </si>
  <si>
    <t>TP2020033</t>
  </si>
  <si>
    <t>Pryor Junction 138/115 kV</t>
  </si>
  <si>
    <t>TP2019132</t>
  </si>
  <si>
    <t>Grady Cap Bank 138 kV</t>
  </si>
  <si>
    <t>TP2020234</t>
  </si>
  <si>
    <t>Transmission Plant Average Balance for 2022</t>
  </si>
  <si>
    <t xml:space="preserve">   Excess DFIT Adjustment  (TCOS, ln 110)</t>
  </si>
  <si>
    <t xml:space="preserve">   Tax Effect of Permanent and Flow Through Differences (TCOS, ln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</si>
</sst>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000"/>
    <numFmt numFmtId="168" formatCode="&quot;$&quot;#,##0.00"/>
    <numFmt numFmtId="169" formatCode="_(* #,##0_);_(* \(#,##0\);_(* &quot;-&quot;??_);_(@_)"/>
    <numFmt numFmtId="170" formatCode="_(&quot;$&quot;* #,##0_);_(&quot;$&quot;* \(#,##0\);_(&quot;$&quot;* &quot;-&quot;??_);_(@_)"/>
    <numFmt numFmtId="171" formatCode="_(* #,##0.0000_);_(* \(#,##0.0000\);_(* &quot;-&quot;????_);_(@_)"/>
    <numFmt numFmtId="172" formatCode="_(* #,##0.0000_);_(* \(#,##0.0000\);_(* &quot;-&quot;_);_(@_)"/>
    <numFmt numFmtId="173" formatCode="_(* #,##0.00000_);_(* \(#,##0.00000\);_(* &quot;-&quot;??_);_(@_)"/>
    <numFmt numFmtId="174" formatCode="#\ ??/12"/>
    <numFmt numFmtId="175" formatCode="&quot;$&quot;#,##0\ ;\(&quot;$&quot;#,##0\)"/>
    <numFmt numFmtId="176" formatCode="_(* #,##0.0,_);_(* \(#,##0.0,\);_(* &quot;-   &quot;_);_(@_)"/>
    <numFmt numFmtId="177" formatCode="_(* #,##0.000000_);_(* \(#,##0.000000\);_(* &quot;-&quot;??_);_(@_)"/>
    <numFmt numFmtId="178" formatCode="_(* #,##0.000000000_);_(* \(#,##0.000000000\);_(* &quot;-&quot;_);_(@_)"/>
    <numFmt numFmtId="179" formatCode="0.0000%"/>
  </numFmts>
  <fonts count="102">
    <font>
      <sz val="10"/>
      <name val="Arial"/>
    </font>
    <font>
      <sz val="10"/>
      <name val="Arial"/>
      <family val="2"/>
    </font>
    <font>
      <sz val="11"/>
      <color indexed="8"/>
      <name val="Arial Narrow"/>
      <family val="2"/>
    </font>
    <font>
      <sz val="11"/>
      <color indexed="9"/>
      <name val="Arial Narrow"/>
      <family val="2"/>
    </font>
    <font>
      <sz val="11"/>
      <color indexed="20"/>
      <name val="Arial Narrow"/>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8"/>
      <name val="Arial"/>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sz val="12"/>
      <name val="Arial MT"/>
    </font>
    <font>
      <b/>
      <sz val="11"/>
      <color indexed="63"/>
      <name val="Arial Narrow"/>
      <family val="2"/>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sz val="14"/>
      <name val="Arial"/>
      <family val="2"/>
    </font>
    <font>
      <b/>
      <sz val="14"/>
      <name val="MS Serif"/>
      <family val="1"/>
    </font>
    <font>
      <u/>
      <sz val="10"/>
      <name val="Arial"/>
      <family val="2"/>
    </font>
    <font>
      <sz val="10"/>
      <name val="MS Serif"/>
      <family val="1"/>
    </font>
    <font>
      <b/>
      <sz val="16"/>
      <name val="Arial"/>
      <family val="2"/>
    </font>
    <font>
      <sz val="12"/>
      <color indexed="12"/>
      <name val="Arial"/>
      <family val="2"/>
    </font>
    <font>
      <b/>
      <sz val="10"/>
      <color indexed="12"/>
      <name val="Arial"/>
      <family val="2"/>
    </font>
    <font>
      <b/>
      <sz val="10"/>
      <color indexed="10"/>
      <name val="Arial"/>
      <family val="2"/>
    </font>
    <font>
      <sz val="10"/>
      <color indexed="12"/>
      <name val="Arial"/>
      <family val="2"/>
    </font>
    <font>
      <sz val="10"/>
      <color indexed="10"/>
      <name val="Arial"/>
      <family val="2"/>
    </font>
    <font>
      <u val="singleAccounting"/>
      <sz val="10"/>
      <name val="Arial"/>
      <family val="2"/>
    </font>
    <font>
      <sz val="12"/>
      <color indexed="10"/>
      <name val="Arial"/>
      <family val="2"/>
    </font>
    <font>
      <b/>
      <sz val="10"/>
      <color indexed="8"/>
      <name val="Arial"/>
      <family val="2"/>
    </font>
    <font>
      <sz val="8"/>
      <color indexed="81"/>
      <name val="Tahoma"/>
      <family val="2"/>
    </font>
    <font>
      <b/>
      <sz val="8"/>
      <color indexed="81"/>
      <name val="Tahoma"/>
      <family val="2"/>
    </font>
    <font>
      <b/>
      <sz val="10"/>
      <color indexed="48"/>
      <name val="Arial"/>
      <family val="2"/>
    </font>
    <font>
      <sz val="8"/>
      <name val="Arial"/>
      <family val="2"/>
    </font>
    <font>
      <b/>
      <i/>
      <sz val="8"/>
      <color indexed="10"/>
      <name val="Arial"/>
      <family val="2"/>
    </font>
    <font>
      <sz val="10"/>
      <color indexed="12"/>
      <name val="Arial"/>
      <family val="2"/>
    </font>
    <font>
      <b/>
      <u/>
      <sz val="10"/>
      <name val="Arial"/>
      <family val="2"/>
    </font>
    <font>
      <b/>
      <sz val="10"/>
      <color indexed="57"/>
      <name val="Arial"/>
      <family val="2"/>
    </font>
    <font>
      <sz val="14"/>
      <color indexed="12"/>
      <name val="Arial"/>
      <family val="2"/>
    </font>
    <font>
      <sz val="10"/>
      <color indexed="9"/>
      <name val="Arial"/>
      <family val="2"/>
    </font>
    <font>
      <sz val="12"/>
      <name val="Arial"/>
      <family val="2"/>
    </font>
    <font>
      <b/>
      <sz val="12"/>
      <color indexed="12"/>
      <name val="Arial"/>
      <family val="2"/>
    </font>
    <font>
      <sz val="10"/>
      <color indexed="13"/>
      <name val="Arial"/>
      <family val="2"/>
    </font>
    <font>
      <sz val="10"/>
      <color indexed="10"/>
      <name val="Arial"/>
      <family val="2"/>
    </font>
    <font>
      <i/>
      <sz val="8"/>
      <color indexed="81"/>
      <name val="Tahoma"/>
      <family val="2"/>
    </font>
    <font>
      <sz val="8"/>
      <color indexed="10"/>
      <name val="Arial"/>
      <family val="2"/>
    </font>
    <font>
      <b/>
      <sz val="9"/>
      <color indexed="81"/>
      <name val="Tahoma"/>
      <family val="2"/>
    </font>
    <font>
      <sz val="9"/>
      <color indexed="81"/>
      <name val="Tahoma"/>
      <family val="2"/>
    </font>
    <font>
      <sz val="10"/>
      <name val="Arial"/>
      <family val="2"/>
    </font>
    <font>
      <sz val="10"/>
      <color indexed="30"/>
      <name val="Arial"/>
      <family val="2"/>
    </font>
    <font>
      <b/>
      <sz val="10"/>
      <color indexed="30"/>
      <name val="Arial"/>
      <family val="2"/>
    </font>
    <font>
      <sz val="10"/>
      <color indexed="12"/>
      <name val="Arial"/>
      <family val="2"/>
    </font>
    <font>
      <b/>
      <sz val="12"/>
      <color indexed="10"/>
      <name val="Arial"/>
      <family val="2"/>
    </font>
    <font>
      <sz val="12"/>
      <color indexed="10"/>
      <name val="Arial"/>
      <family val="2"/>
    </font>
    <font>
      <sz val="10"/>
      <name val="Arial"/>
      <family val="2"/>
    </font>
    <font>
      <sz val="10"/>
      <color indexed="22"/>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8"/>
      <color indexed="22"/>
      <name val="Arial"/>
      <family val="2"/>
    </font>
    <font>
      <b/>
      <sz val="12"/>
      <color indexed="22"/>
      <name val="Arial"/>
      <family val="2"/>
    </font>
    <fon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5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264">
    <xf numFmtId="0" fontId="0" fillId="0" borderId="0"/>
    <xf numFmtId="0" fontId="2" fillId="2" borderId="0" applyNumberFormat="0" applyBorder="0" applyAlignment="0" applyProtection="0"/>
    <xf numFmtId="0" fontId="86" fillId="2" borderId="0" applyNumberFormat="0" applyBorder="0" applyAlignment="0" applyProtection="0"/>
    <xf numFmtId="0" fontId="2" fillId="3" borderId="0" applyNumberFormat="0" applyBorder="0" applyAlignment="0" applyProtection="0"/>
    <xf numFmtId="0" fontId="86" fillId="3" borderId="0" applyNumberFormat="0" applyBorder="0" applyAlignment="0" applyProtection="0"/>
    <xf numFmtId="0" fontId="2" fillId="4" borderId="0" applyNumberFormat="0" applyBorder="0" applyAlignment="0" applyProtection="0"/>
    <xf numFmtId="0" fontId="86" fillId="4"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6" borderId="0" applyNumberFormat="0" applyBorder="0" applyAlignment="0" applyProtection="0"/>
    <xf numFmtId="0" fontId="86" fillId="6" borderId="0" applyNumberFormat="0" applyBorder="0" applyAlignment="0" applyProtection="0"/>
    <xf numFmtId="0" fontId="2" fillId="7" borderId="0" applyNumberFormat="0" applyBorder="0" applyAlignment="0" applyProtection="0"/>
    <xf numFmtId="0" fontId="86" fillId="7"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9" borderId="0" applyNumberFormat="0" applyBorder="0" applyAlignment="0" applyProtection="0"/>
    <xf numFmtId="0" fontId="86" fillId="9" borderId="0" applyNumberFormat="0" applyBorder="0" applyAlignment="0" applyProtection="0"/>
    <xf numFmtId="0" fontId="2" fillId="10" borderId="0" applyNumberFormat="0" applyBorder="0" applyAlignment="0" applyProtection="0"/>
    <xf numFmtId="0" fontId="86" fillId="10"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11" borderId="0" applyNumberFormat="0" applyBorder="0" applyAlignment="0" applyProtection="0"/>
    <xf numFmtId="0" fontId="86" fillId="11" borderId="0" applyNumberFormat="0" applyBorder="0" applyAlignment="0" applyProtection="0"/>
    <xf numFmtId="0" fontId="3" fillId="12" borderId="0" applyNumberFormat="0" applyBorder="0" applyAlignment="0" applyProtection="0"/>
    <xf numFmtId="0" fontId="87" fillId="12" borderId="0" applyNumberFormat="0" applyBorder="0" applyAlignment="0" applyProtection="0"/>
    <xf numFmtId="0" fontId="3" fillId="9" borderId="0" applyNumberFormat="0" applyBorder="0" applyAlignment="0" applyProtection="0"/>
    <xf numFmtId="0" fontId="87" fillId="9" borderId="0" applyNumberFormat="0" applyBorder="0" applyAlignment="0" applyProtection="0"/>
    <xf numFmtId="0" fontId="3" fillId="10" borderId="0" applyNumberFormat="0" applyBorder="0" applyAlignment="0" applyProtection="0"/>
    <xf numFmtId="0" fontId="87" fillId="10"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5" borderId="0" applyNumberFormat="0" applyBorder="0" applyAlignment="0" applyProtection="0"/>
    <xf numFmtId="0" fontId="87" fillId="15" borderId="0" applyNumberFormat="0" applyBorder="0" applyAlignment="0" applyProtection="0"/>
    <xf numFmtId="0" fontId="3" fillId="16" borderId="0" applyNumberFormat="0" applyBorder="0" applyAlignment="0" applyProtection="0"/>
    <xf numFmtId="0" fontId="87" fillId="16" borderId="0" applyNumberFormat="0" applyBorder="0" applyAlignment="0" applyProtection="0"/>
    <xf numFmtId="0" fontId="3" fillId="17" borderId="0" applyNumberFormat="0" applyBorder="0" applyAlignment="0" applyProtection="0"/>
    <xf numFmtId="0" fontId="87" fillId="17" borderId="0" applyNumberFormat="0" applyBorder="0" applyAlignment="0" applyProtection="0"/>
    <xf numFmtId="0" fontId="3" fillId="18" borderId="0" applyNumberFormat="0" applyBorder="0" applyAlignment="0" applyProtection="0"/>
    <xf numFmtId="0" fontId="87" fillId="18"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9" borderId="0" applyNumberFormat="0" applyBorder="0" applyAlignment="0" applyProtection="0"/>
    <xf numFmtId="0" fontId="87" fillId="19" borderId="0" applyNumberFormat="0" applyBorder="0" applyAlignment="0" applyProtection="0"/>
    <xf numFmtId="0" fontId="4" fillId="3" borderId="0" applyNumberFormat="0" applyBorder="0" applyAlignment="0" applyProtection="0"/>
    <xf numFmtId="0" fontId="88" fillId="3" borderId="0" applyNumberFormat="0" applyBorder="0" applyAlignment="0" applyProtection="0"/>
    <xf numFmtId="168" fontId="5" fillId="0" borderId="0" applyFill="0"/>
    <xf numFmtId="168" fontId="5" fillId="0" borderId="0">
      <alignment horizontal="center"/>
    </xf>
    <xf numFmtId="0" fontId="5" fillId="0" borderId="0" applyFill="0">
      <alignment horizontal="center"/>
    </xf>
    <xf numFmtId="168" fontId="6" fillId="0" borderId="1" applyFill="0"/>
    <xf numFmtId="0" fontId="7" fillId="0" borderId="0" applyFont="0" applyAlignment="0"/>
    <xf numFmtId="0" fontId="8" fillId="0" borderId="0" applyFill="0">
      <alignment vertical="top"/>
    </xf>
    <xf numFmtId="0" fontId="6" fillId="0" borderId="0" applyFill="0">
      <alignment horizontal="left" vertical="top"/>
    </xf>
    <xf numFmtId="168" fontId="9" fillId="0" borderId="2" applyFill="0"/>
    <xf numFmtId="0" fontId="7" fillId="0" borderId="0" applyNumberFormat="0" applyFont="0" applyAlignment="0"/>
    <xf numFmtId="0" fontId="8" fillId="0" borderId="0" applyFill="0">
      <alignment wrapText="1"/>
    </xf>
    <xf numFmtId="0" fontId="6" fillId="0" borderId="0" applyFill="0">
      <alignment horizontal="left" vertical="top" wrapText="1"/>
    </xf>
    <xf numFmtId="168" fontId="10" fillId="0" borderId="0" applyFill="0"/>
    <xf numFmtId="0" fontId="11" fillId="0" borderId="0" applyNumberFormat="0" applyFont="0" applyAlignment="0">
      <alignment horizontal="center"/>
    </xf>
    <xf numFmtId="0" fontId="12" fillId="0" borderId="0" applyFill="0">
      <alignment vertical="top" wrapText="1"/>
    </xf>
    <xf numFmtId="0" fontId="9" fillId="0" borderId="0" applyFill="0">
      <alignment horizontal="left" vertical="top" wrapText="1"/>
    </xf>
    <xf numFmtId="168" fontId="7" fillId="0" borderId="0" applyFill="0"/>
    <xf numFmtId="0" fontId="11" fillId="0" borderId="0" applyNumberFormat="0" applyFont="0" applyAlignment="0">
      <alignment horizontal="center"/>
    </xf>
    <xf numFmtId="0" fontId="13" fillId="0" borderId="0" applyFill="0">
      <alignment vertical="center" wrapText="1"/>
    </xf>
    <xf numFmtId="0" fontId="14" fillId="0" borderId="0">
      <alignment horizontal="left" vertical="center" wrapText="1"/>
    </xf>
    <xf numFmtId="168" fontId="15" fillId="0" borderId="0" applyFill="0"/>
    <xf numFmtId="0" fontId="11" fillId="0" borderId="0" applyNumberFormat="0" applyFont="0" applyAlignment="0">
      <alignment horizontal="center"/>
    </xf>
    <xf numFmtId="0" fontId="16" fillId="0" borderId="0" applyFill="0">
      <alignment horizontal="center" vertical="center" wrapText="1"/>
    </xf>
    <xf numFmtId="0" fontId="7" fillId="0" borderId="0" applyFill="0">
      <alignment horizontal="center" vertical="center" wrapText="1"/>
    </xf>
    <xf numFmtId="168" fontId="17" fillId="0" borderId="0" applyFill="0"/>
    <xf numFmtId="0" fontId="11" fillId="0" borderId="0" applyNumberFormat="0" applyFont="0" applyAlignment="0">
      <alignment horizontal="center"/>
    </xf>
    <xf numFmtId="0" fontId="18" fillId="0" borderId="0" applyFill="0">
      <alignment horizontal="center" vertical="center" wrapText="1"/>
    </xf>
    <xf numFmtId="0" fontId="19" fillId="0" borderId="0" applyFill="0">
      <alignment horizontal="center" vertical="center" wrapText="1"/>
    </xf>
    <xf numFmtId="168" fontId="20" fillId="0" borderId="0" applyFill="0"/>
    <xf numFmtId="0" fontId="11" fillId="0" borderId="0" applyNumberFormat="0" applyFont="0" applyAlignment="0">
      <alignment horizontal="center"/>
    </xf>
    <xf numFmtId="0" fontId="21" fillId="0" borderId="0">
      <alignment horizontal="center" wrapText="1"/>
    </xf>
    <xf numFmtId="0" fontId="17" fillId="0" borderId="0" applyFill="0">
      <alignment horizontal="center" wrapText="1"/>
    </xf>
    <xf numFmtId="0" fontId="22" fillId="20" borderId="3" applyNumberFormat="0" applyAlignment="0" applyProtection="0"/>
    <xf numFmtId="0" fontId="89" fillId="20" borderId="3" applyNumberFormat="0" applyAlignment="0" applyProtection="0"/>
    <xf numFmtId="0" fontId="23" fillId="21" borderId="4" applyNumberFormat="0" applyAlignment="0" applyProtection="0"/>
    <xf numFmtId="0" fontId="90" fillId="21" borderId="4" applyNumberFormat="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3" fontId="7"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4" fontId="7"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24" fillId="0" borderId="0" applyNumberFormat="0" applyFill="0" applyBorder="0" applyAlignment="0" applyProtection="0"/>
    <xf numFmtId="0" fontId="91" fillId="0" borderId="0" applyNumberFormat="0" applyFill="0" applyBorder="0" applyAlignment="0" applyProtection="0"/>
    <xf numFmtId="2" fontId="7"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0" fontId="25" fillId="4" borderId="0" applyNumberFormat="0" applyBorder="0" applyAlignment="0" applyProtection="0"/>
    <xf numFmtId="0" fontId="92" fillId="4" borderId="0" applyNumberFormat="0" applyBorder="0" applyAlignment="0" applyProtection="0"/>
    <xf numFmtId="0" fontId="26"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5" applyNumberFormat="0" applyFill="0" applyAlignment="0" applyProtection="0"/>
    <xf numFmtId="0" fontId="93" fillId="0" borderId="5" applyNumberFormat="0" applyFill="0" applyAlignment="0" applyProtection="0"/>
    <xf numFmtId="0" fontId="27" fillId="0" borderId="0" applyNumberFormat="0" applyFill="0" applyBorder="0" applyAlignment="0" applyProtection="0"/>
    <xf numFmtId="0" fontId="93" fillId="0" borderId="0" applyNumberFormat="0" applyFill="0" applyBorder="0" applyAlignment="0" applyProtection="0"/>
    <xf numFmtId="0" fontId="28" fillId="0" borderId="6"/>
    <xf numFmtId="0" fontId="29" fillId="0" borderId="0"/>
    <xf numFmtId="0" fontId="30" fillId="7" borderId="3" applyNumberFormat="0" applyAlignment="0" applyProtection="0"/>
    <xf numFmtId="0" fontId="94" fillId="7" borderId="3" applyNumberFormat="0" applyAlignment="0" applyProtection="0"/>
    <xf numFmtId="0" fontId="31" fillId="0" borderId="7" applyNumberFormat="0" applyFill="0" applyAlignment="0" applyProtection="0"/>
    <xf numFmtId="0" fontId="95" fillId="0" borderId="7" applyNumberFormat="0" applyFill="0" applyAlignment="0" applyProtection="0"/>
    <xf numFmtId="176" fontId="83"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32" fillId="22" borderId="0" applyNumberFormat="0" applyBorder="0" applyAlignment="0" applyProtection="0"/>
    <xf numFmtId="0" fontId="96" fillId="22" borderId="0" applyNumberFormat="0" applyBorder="0" applyAlignment="0" applyProtection="0"/>
    <xf numFmtId="0" fontId="7" fillId="0" borderId="0"/>
    <xf numFmtId="0" fontId="7" fillId="0" borderId="0"/>
    <xf numFmtId="0" fontId="85" fillId="0" borderId="0"/>
    <xf numFmtId="0" fontId="7" fillId="0" borderId="0"/>
    <xf numFmtId="0" fontId="7" fillId="0" borderId="0"/>
    <xf numFmtId="0" fontId="85" fillId="0" borderId="0"/>
    <xf numFmtId="0" fontId="7" fillId="0" borderId="0"/>
    <xf numFmtId="0" fontId="1" fillId="0" borderId="0"/>
    <xf numFmtId="0" fontId="7" fillId="0" borderId="0"/>
    <xf numFmtId="0" fontId="77" fillId="0" borderId="0"/>
    <xf numFmtId="0" fontId="7" fillId="0" borderId="0"/>
    <xf numFmtId="0" fontId="83" fillId="0" borderId="0"/>
    <xf numFmtId="0" fontId="83" fillId="0" borderId="0"/>
    <xf numFmtId="0" fontId="83" fillId="0" borderId="0"/>
    <xf numFmtId="0" fontId="85" fillId="0" borderId="0"/>
    <xf numFmtId="0" fontId="7" fillId="0" borderId="0"/>
    <xf numFmtId="0" fontId="7" fillId="0" borderId="0"/>
    <xf numFmtId="168" fontId="33" fillId="0" borderId="0" applyProtection="0"/>
    <xf numFmtId="0" fontId="33" fillId="23" borderId="8" applyNumberFormat="0" applyFont="0" applyAlignment="0" applyProtection="0"/>
    <xf numFmtId="0" fontId="7" fillId="23" borderId="8" applyNumberFormat="0" applyFont="0" applyAlignment="0" applyProtection="0"/>
    <xf numFmtId="0" fontId="34" fillId="20" borderId="9" applyNumberFormat="0" applyAlignment="0" applyProtection="0"/>
    <xf numFmtId="0" fontId="97" fillId="20" borderId="9"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7"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7" fillId="0" borderId="0">
      <alignment horizontal="right" vertical="top"/>
    </xf>
    <xf numFmtId="41" fontId="14" fillId="25" borderId="10" applyFill="0"/>
    <xf numFmtId="0" fontId="37" fillId="0" borderId="0">
      <alignment horizontal="left" indent="7"/>
    </xf>
    <xf numFmtId="41" fontId="14" fillId="0" borderId="10" applyFill="0">
      <alignment horizontal="left" indent="2"/>
    </xf>
    <xf numFmtId="168" fontId="38" fillId="0" borderId="11" applyFill="0">
      <alignment horizontal="right"/>
    </xf>
    <xf numFmtId="0" fontId="39" fillId="0" borderId="12" applyNumberFormat="0" applyFont="0" applyBorder="0">
      <alignment horizontal="right"/>
    </xf>
    <xf numFmtId="0" fontId="40" fillId="0" borderId="0" applyFill="0"/>
    <xf numFmtId="0" fontId="9" fillId="0" borderId="0" applyFill="0"/>
    <xf numFmtId="4" fontId="38" fillId="0" borderId="11" applyFill="0"/>
    <xf numFmtId="0" fontId="7" fillId="0" borderId="0" applyNumberFormat="0" applyFont="0" applyBorder="0" applyAlignment="0"/>
    <xf numFmtId="0" fontId="12" fillId="0" borderId="0" applyFill="0">
      <alignment horizontal="left" indent="1"/>
    </xf>
    <xf numFmtId="0" fontId="41" fillId="0" borderId="0" applyFill="0">
      <alignment horizontal="left" indent="1"/>
    </xf>
    <xf numFmtId="4" fontId="15" fillId="0" borderId="0" applyFill="0"/>
    <xf numFmtId="0" fontId="7" fillId="0" borderId="0" applyNumberFormat="0" applyFont="0" applyFill="0" applyBorder="0" applyAlignment="0"/>
    <xf numFmtId="0" fontId="12" fillId="0" borderId="0" applyFill="0">
      <alignment horizontal="left" indent="2"/>
    </xf>
    <xf numFmtId="0" fontId="9" fillId="0" borderId="0" applyFill="0">
      <alignment horizontal="left" indent="2"/>
    </xf>
    <xf numFmtId="4" fontId="15" fillId="0" borderId="0" applyFill="0"/>
    <xf numFmtId="0" fontId="7" fillId="0" borderId="0" applyNumberFormat="0" applyFont="0" applyBorder="0" applyAlignment="0"/>
    <xf numFmtId="0" fontId="42" fillId="0" borderId="0">
      <alignment horizontal="left" indent="3"/>
    </xf>
    <xf numFmtId="0" fontId="43" fillId="0" borderId="0" applyFill="0">
      <alignment horizontal="left" indent="3"/>
    </xf>
    <xf numFmtId="4" fontId="15" fillId="0" borderId="0" applyFill="0"/>
    <xf numFmtId="0" fontId="7" fillId="0" borderId="0" applyNumberFormat="0" applyFont="0" applyBorder="0" applyAlignment="0"/>
    <xf numFmtId="0" fontId="16" fillId="0" borderId="0">
      <alignment horizontal="left" indent="4"/>
    </xf>
    <xf numFmtId="0" fontId="7" fillId="0" borderId="0" applyFill="0">
      <alignment horizontal="left" indent="4"/>
    </xf>
    <xf numFmtId="4" fontId="17" fillId="0" borderId="0" applyFill="0"/>
    <xf numFmtId="0" fontId="7" fillId="0" borderId="0" applyNumberFormat="0" applyFont="0" applyBorder="0" applyAlignment="0"/>
    <xf numFmtId="0" fontId="18" fillId="0" borderId="0">
      <alignment horizontal="left" indent="5"/>
    </xf>
    <xf numFmtId="0" fontId="19" fillId="0" borderId="0" applyFill="0">
      <alignment horizontal="left" indent="5"/>
    </xf>
    <xf numFmtId="4" fontId="20" fillId="0" borderId="0" applyFill="0"/>
    <xf numFmtId="0" fontId="7" fillId="0" borderId="0" applyNumberFormat="0" applyFont="0" applyFill="0" applyBorder="0" applyAlignment="0"/>
    <xf numFmtId="0" fontId="21" fillId="0" borderId="0" applyFill="0">
      <alignment horizontal="left" indent="6"/>
    </xf>
    <xf numFmtId="0" fontId="17" fillId="0" borderId="0" applyFill="0">
      <alignment horizontal="left" indent="6"/>
    </xf>
    <xf numFmtId="0" fontId="44" fillId="0" borderId="0" applyNumberFormat="0" applyFill="0" applyBorder="0" applyAlignment="0" applyProtection="0"/>
    <xf numFmtId="0" fontId="44" fillId="0" borderId="0" applyNumberFormat="0" applyFill="0" applyBorder="0" applyAlignment="0" applyProtection="0"/>
    <xf numFmtId="0" fontId="7" fillId="0" borderId="0" applyFont="0" applyFill="0" applyBorder="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45" fillId="0" borderId="0" applyNumberFormat="0" applyFill="0" applyBorder="0" applyAlignment="0" applyProtection="0"/>
    <xf numFmtId="0" fontId="98" fillId="0" borderId="0" applyNumberFormat="0" applyFill="0" applyBorder="0" applyAlignment="0" applyProtection="0"/>
    <xf numFmtId="43" fontId="1" fillId="0" borderId="0" applyFont="0" applyFill="0" applyBorder="0" applyAlignment="0" applyProtection="0"/>
  </cellStyleXfs>
  <cellXfs count="675">
    <xf numFmtId="0" fontId="0" fillId="0" borderId="0" xfId="0"/>
    <xf numFmtId="0" fontId="7" fillId="0" borderId="0" xfId="0" applyFont="1"/>
    <xf numFmtId="0" fontId="7" fillId="0" borderId="0" xfId="0" applyFont="1" applyAlignment="1">
      <alignment horizontal="center"/>
    </xf>
    <xf numFmtId="169" fontId="7" fillId="0" borderId="0" xfId="86" applyNumberFormat="1" applyFont="1"/>
    <xf numFmtId="0" fontId="7" fillId="0" borderId="0" xfId="0" applyFont="1" applyBorder="1"/>
    <xf numFmtId="0" fontId="47" fillId="0" borderId="0" xfId="0" applyFont="1" applyFill="1"/>
    <xf numFmtId="0" fontId="0" fillId="0" borderId="0" xfId="0" applyAlignment="1">
      <alignment wrapText="1"/>
    </xf>
    <xf numFmtId="0" fontId="0" fillId="0" borderId="0" xfId="0" applyBorder="1"/>
    <xf numFmtId="0" fontId="9" fillId="0" borderId="0" xfId="0" applyFont="1" applyAlignment="1">
      <alignment horizontal="left"/>
    </xf>
    <xf numFmtId="0" fontId="7" fillId="0" borderId="0" xfId="0" applyFont="1" applyFill="1" applyBorder="1"/>
    <xf numFmtId="10" fontId="7" fillId="0" borderId="0" xfId="0" applyNumberFormat="1" applyFont="1" applyBorder="1"/>
    <xf numFmtId="0" fontId="7" fillId="0" borderId="0" xfId="0" applyFont="1" applyFill="1" applyBorder="1" applyAlignment="1"/>
    <xf numFmtId="0" fontId="14" fillId="0" borderId="0" xfId="191" applyNumberFormat="1" applyFont="1" applyFill="1" applyBorder="1" applyAlignment="1" applyProtection="1">
      <protection locked="0"/>
    </xf>
    <xf numFmtId="0" fontId="6" fillId="0" borderId="0" xfId="0" applyFont="1" applyFill="1"/>
    <xf numFmtId="10" fontId="7" fillId="0" borderId="0" xfId="0" applyNumberFormat="1" applyFont="1"/>
    <xf numFmtId="0" fontId="7" fillId="0" borderId="0" xfId="0" applyFont="1" applyFill="1" applyBorder="1" applyAlignment="1">
      <alignment wrapText="1"/>
    </xf>
    <xf numFmtId="0" fontId="0" fillId="0" borderId="0" xfId="0" applyFill="1"/>
    <xf numFmtId="169" fontId="7" fillId="0" borderId="0" xfId="0" applyNumberFormat="1" applyFont="1"/>
    <xf numFmtId="0" fontId="46" fillId="0" borderId="0" xfId="0" applyFont="1" applyAlignment="1">
      <alignment horizontal="right"/>
    </xf>
    <xf numFmtId="169" fontId="7" fillId="0" borderId="0" xfId="86" applyNumberFormat="1" applyFont="1" applyBorder="1"/>
    <xf numFmtId="0" fontId="39" fillId="0" borderId="0" xfId="0" applyFont="1" applyAlignment="1">
      <alignment horizontal="left"/>
    </xf>
    <xf numFmtId="0" fontId="51" fillId="26" borderId="0" xfId="86" applyNumberFormat="1" applyFont="1" applyFill="1" applyAlignment="1">
      <alignment horizontal="left"/>
    </xf>
    <xf numFmtId="0" fontId="39" fillId="0" borderId="17" xfId="0" applyFont="1" applyBorder="1"/>
    <xf numFmtId="0" fontId="39" fillId="0" borderId="18" xfId="0" applyFont="1" applyBorder="1"/>
    <xf numFmtId="0" fontId="7" fillId="0" borderId="18" xfId="0" applyFont="1" applyBorder="1"/>
    <xf numFmtId="169" fontId="39" fillId="0" borderId="19" xfId="86" applyNumberFormat="1" applyFont="1" applyBorder="1"/>
    <xf numFmtId="0" fontId="14" fillId="0" borderId="0" xfId="86" applyNumberFormat="1" applyFont="1" applyFill="1" applyAlignment="1">
      <alignment horizontal="left"/>
    </xf>
    <xf numFmtId="0" fontId="14" fillId="0" borderId="0" xfId="86" applyNumberFormat="1" applyFont="1" applyFill="1" applyBorder="1" applyAlignment="1">
      <alignment horizontal="left"/>
    </xf>
    <xf numFmtId="0" fontId="39" fillId="0" borderId="13" xfId="0" applyFont="1" applyBorder="1"/>
    <xf numFmtId="0" fontId="9" fillId="0" borderId="0" xfId="86" applyNumberFormat="1" applyFont="1" applyFill="1" applyBorder="1" applyAlignment="1">
      <alignment horizontal="left"/>
    </xf>
    <xf numFmtId="169" fontId="39" fillId="0" borderId="20" xfId="86" applyNumberFormat="1" applyFont="1" applyBorder="1"/>
    <xf numFmtId="0" fontId="39" fillId="0" borderId="0" xfId="0" applyFont="1" applyFill="1"/>
    <xf numFmtId="169" fontId="39" fillId="0" borderId="15" xfId="86" applyNumberFormat="1" applyFont="1" applyBorder="1"/>
    <xf numFmtId="169" fontId="7" fillId="0" borderId="6" xfId="86" applyNumberFormat="1" applyFont="1" applyBorder="1"/>
    <xf numFmtId="169" fontId="7" fillId="0" borderId="16" xfId="86" applyNumberFormat="1" applyFont="1" applyBorder="1"/>
    <xf numFmtId="0" fontId="53" fillId="0" borderId="0" xfId="0" applyFont="1" applyFill="1" applyAlignment="1"/>
    <xf numFmtId="0" fontId="7" fillId="0" borderId="0" xfId="0" applyFont="1" applyFill="1" applyAlignment="1">
      <alignment wrapText="1"/>
    </xf>
    <xf numFmtId="0" fontId="39" fillId="0" borderId="21" xfId="0" applyFont="1" applyFill="1" applyBorder="1" applyAlignment="1">
      <alignment horizontal="center"/>
    </xf>
    <xf numFmtId="0" fontId="39" fillId="0" borderId="22" xfId="0" applyFont="1" applyFill="1" applyBorder="1" applyAlignment="1">
      <alignment horizontal="center"/>
    </xf>
    <xf numFmtId="0" fontId="39" fillId="0" borderId="23" xfId="0" applyFont="1" applyFill="1" applyBorder="1" applyAlignment="1">
      <alignment horizontal="center"/>
    </xf>
    <xf numFmtId="0" fontId="39" fillId="0" borderId="0" xfId="0" applyFont="1" applyFill="1" applyBorder="1" applyAlignment="1">
      <alignment horizontal="center"/>
    </xf>
    <xf numFmtId="0" fontId="0" fillId="0" borderId="0" xfId="0" applyBorder="1" applyAlignment="1"/>
    <xf numFmtId="0" fontId="7" fillId="0" borderId="13" xfId="0" applyFont="1" applyFill="1" applyBorder="1" applyAlignment="1"/>
    <xf numFmtId="169" fontId="54" fillId="26" borderId="14" xfId="86" applyNumberFormat="1" applyFont="1" applyFill="1" applyBorder="1" applyAlignment="1">
      <alignment horizontal="right"/>
    </xf>
    <xf numFmtId="0" fontId="7" fillId="0" borderId="0" xfId="0" applyFont="1" applyBorder="1" applyAlignment="1">
      <alignment horizontal="center"/>
    </xf>
    <xf numFmtId="0" fontId="39" fillId="0" borderId="19" xfId="0" applyFont="1" applyFill="1" applyBorder="1" applyAlignment="1">
      <alignment horizontal="center"/>
    </xf>
    <xf numFmtId="0" fontId="7" fillId="0" borderId="13" xfId="0" applyFont="1" applyFill="1" applyBorder="1"/>
    <xf numFmtId="0" fontId="54" fillId="26" borderId="14" xfId="0" applyFont="1" applyFill="1" applyBorder="1" applyAlignment="1">
      <alignment horizontal="right"/>
    </xf>
    <xf numFmtId="169" fontId="7" fillId="0" borderId="14" xfId="0" applyNumberFormat="1" applyFont="1" applyFill="1" applyBorder="1" applyAlignment="1">
      <alignment horizontal="right"/>
    </xf>
    <xf numFmtId="169" fontId="7" fillId="0" borderId="0" xfId="0" applyNumberFormat="1" applyFont="1" applyFill="1" applyBorder="1" applyAlignment="1">
      <alignment horizontal="right"/>
    </xf>
    <xf numFmtId="10" fontId="7" fillId="0" borderId="14" xfId="0" applyNumberFormat="1" applyFont="1" applyBorder="1"/>
    <xf numFmtId="10" fontId="7" fillId="0" borderId="0" xfId="0" applyNumberFormat="1" applyFont="1" applyFill="1" applyBorder="1"/>
    <xf numFmtId="169" fontId="7" fillId="0" borderId="14" xfId="86" applyNumberFormat="1" applyFont="1" applyBorder="1"/>
    <xf numFmtId="0" fontId="39" fillId="0" borderId="24" xfId="0" applyFont="1" applyBorder="1" applyAlignment="1">
      <alignment horizontal="center"/>
    </xf>
    <xf numFmtId="169" fontId="39" fillId="0" borderId="24" xfId="86" applyNumberFormat="1" applyFont="1" applyBorder="1" applyAlignment="1">
      <alignment horizontal="center"/>
    </xf>
    <xf numFmtId="0" fontId="39" fillId="0" borderId="25" xfId="0" applyFont="1" applyBorder="1" applyAlignment="1">
      <alignment horizontal="center"/>
    </xf>
    <xf numFmtId="169" fontId="39" fillId="0" borderId="24" xfId="86" applyNumberFormat="1" applyFont="1" applyBorder="1" applyAlignment="1">
      <alignment horizontal="center" wrapText="1"/>
    </xf>
    <xf numFmtId="0" fontId="39" fillId="0" borderId="26" xfId="0" applyFont="1" applyBorder="1" applyAlignment="1">
      <alignment horizontal="center"/>
    </xf>
    <xf numFmtId="169" fontId="39" fillId="0" borderId="16" xfId="86" applyNumberFormat="1" applyFont="1" applyBorder="1" applyAlignment="1">
      <alignment horizontal="center"/>
    </xf>
    <xf numFmtId="0" fontId="39" fillId="0" borderId="26" xfId="0" applyFont="1" applyFill="1" applyBorder="1" applyAlignment="1">
      <alignment horizontal="center"/>
    </xf>
    <xf numFmtId="0" fontId="39" fillId="0" borderId="25" xfId="0" applyFont="1" applyFill="1" applyBorder="1" applyAlignment="1">
      <alignment horizontal="center"/>
    </xf>
    <xf numFmtId="169" fontId="39" fillId="0" borderId="26" xfId="86" applyNumberFormat="1" applyFont="1" applyBorder="1" applyAlignment="1">
      <alignment horizontal="center"/>
    </xf>
    <xf numFmtId="0" fontId="7" fillId="0" borderId="25" xfId="0" applyNumberFormat="1" applyFont="1" applyBorder="1" applyAlignment="1">
      <alignment horizontal="center"/>
    </xf>
    <xf numFmtId="169" fontId="7" fillId="0" borderId="0" xfId="0" applyNumberFormat="1" applyFont="1" applyBorder="1"/>
    <xf numFmtId="169" fontId="7" fillId="0" borderId="24" xfId="86" applyNumberFormat="1" applyFont="1" applyBorder="1"/>
    <xf numFmtId="170" fontId="7" fillId="0" borderId="14" xfId="0" applyNumberFormat="1" applyFont="1" applyBorder="1"/>
    <xf numFmtId="170" fontId="7" fillId="0" borderId="24" xfId="0" applyNumberFormat="1" applyFont="1" applyBorder="1"/>
    <xf numFmtId="170" fontId="7" fillId="0" borderId="25" xfId="0" applyNumberFormat="1" applyFont="1" applyBorder="1"/>
    <xf numFmtId="169" fontId="7" fillId="0" borderId="25" xfId="0" applyNumberFormat="1" applyFont="1" applyBorder="1"/>
    <xf numFmtId="169" fontId="1" fillId="0" borderId="25" xfId="86" applyNumberFormat="1" applyBorder="1"/>
    <xf numFmtId="169" fontId="7" fillId="0" borderId="25" xfId="86" applyNumberFormat="1" applyFont="1" applyBorder="1"/>
    <xf numFmtId="169" fontId="7" fillId="0" borderId="25" xfId="0" applyNumberFormat="1" applyFont="1" applyFill="1" applyBorder="1"/>
    <xf numFmtId="169" fontId="7" fillId="0" borderId="25" xfId="86" applyNumberFormat="1" applyFont="1" applyFill="1" applyBorder="1"/>
    <xf numFmtId="0" fontId="7" fillId="0" borderId="26" xfId="0" applyNumberFormat="1" applyFont="1" applyBorder="1" applyAlignment="1">
      <alignment horizontal="center"/>
    </xf>
    <xf numFmtId="169" fontId="7" fillId="0" borderId="26" xfId="0" applyNumberFormat="1" applyFont="1" applyBorder="1"/>
    <xf numFmtId="169" fontId="1" fillId="0" borderId="26" xfId="86" applyNumberFormat="1" applyBorder="1"/>
    <xf numFmtId="169" fontId="7" fillId="0" borderId="26" xfId="86" applyNumberFormat="1" applyFont="1" applyFill="1" applyBorder="1"/>
    <xf numFmtId="170" fontId="7" fillId="0" borderId="16" xfId="0" applyNumberFormat="1" applyFont="1" applyBorder="1"/>
    <xf numFmtId="170" fontId="7" fillId="0" borderId="26" xfId="0" applyNumberFormat="1" applyFont="1" applyBorder="1"/>
    <xf numFmtId="0" fontId="53" fillId="0" borderId="0" xfId="0" applyFont="1" applyFill="1"/>
    <xf numFmtId="170" fontId="7" fillId="0" borderId="0" xfId="0" applyNumberFormat="1" applyFont="1" applyBorder="1"/>
    <xf numFmtId="169" fontId="55" fillId="0" borderId="0" xfId="0" applyNumberFormat="1" applyFont="1" applyAlignment="1">
      <alignment horizontal="left"/>
    </xf>
    <xf numFmtId="0" fontId="9" fillId="0" borderId="0" xfId="0" applyFont="1" applyFill="1"/>
    <xf numFmtId="169" fontId="39" fillId="0" borderId="0" xfId="86" applyNumberFormat="1" applyFont="1" applyBorder="1"/>
    <xf numFmtId="169" fontId="7" fillId="0" borderId="14" xfId="0" applyNumberFormat="1" applyFont="1" applyBorder="1"/>
    <xf numFmtId="169" fontId="39" fillId="0" borderId="11" xfId="86" applyNumberFormat="1" applyFont="1" applyBorder="1"/>
    <xf numFmtId="169" fontId="7" fillId="0" borderId="20" xfId="0" applyNumberFormat="1" applyFont="1" applyBorder="1"/>
    <xf numFmtId="0" fontId="7" fillId="0" borderId="15" xfId="0" applyFont="1" applyBorder="1"/>
    <xf numFmtId="169" fontId="39" fillId="0" borderId="6" xfId="86" applyNumberFormat="1" applyFont="1" applyFill="1" applyBorder="1" applyAlignment="1">
      <alignment horizontal="left"/>
    </xf>
    <xf numFmtId="169" fontId="39" fillId="0" borderId="16" xfId="86" applyNumberFormat="1" applyFont="1" applyFill="1" applyBorder="1" applyAlignment="1">
      <alignment horizontal="left"/>
    </xf>
    <xf numFmtId="0" fontId="7" fillId="0" borderId="21" xfId="0" applyFont="1" applyFill="1" applyBorder="1" applyAlignment="1">
      <alignment horizontal="center"/>
    </xf>
    <xf numFmtId="0" fontId="0" fillId="0" borderId="22" xfId="0" applyBorder="1" applyAlignment="1"/>
    <xf numFmtId="0" fontId="0" fillId="0" borderId="0" xfId="0" applyFill="1" applyBorder="1" applyAlignment="1"/>
    <xf numFmtId="0" fontId="7" fillId="0" borderId="6" xfId="0" applyFont="1" applyBorder="1" applyAlignment="1">
      <alignment horizontal="center"/>
    </xf>
    <xf numFmtId="0" fontId="0" fillId="0" borderId="6" xfId="0" applyBorder="1"/>
    <xf numFmtId="0" fontId="39" fillId="0" borderId="24" xfId="0" applyFont="1" applyBorder="1" applyAlignment="1">
      <alignment horizontal="center" wrapText="1"/>
    </xf>
    <xf numFmtId="0" fontId="39" fillId="0" borderId="25" xfId="0" applyFont="1" applyBorder="1" applyAlignment="1">
      <alignment horizontal="center" wrapText="1"/>
    </xf>
    <xf numFmtId="0" fontId="39" fillId="0" borderId="6" xfId="0" applyFont="1" applyBorder="1" applyAlignment="1">
      <alignment horizontal="center"/>
    </xf>
    <xf numFmtId="169" fontId="7" fillId="0" borderId="24" xfId="0" applyNumberFormat="1" applyFont="1" applyBorder="1"/>
    <xf numFmtId="169" fontId="7" fillId="0" borderId="6" xfId="0" applyNumberFormat="1" applyFont="1" applyBorder="1"/>
    <xf numFmtId="0" fontId="55" fillId="0" borderId="0" xfId="0" applyFont="1"/>
    <xf numFmtId="0" fontId="58" fillId="0" borderId="0" xfId="0" applyFont="1" applyFill="1"/>
    <xf numFmtId="0" fontId="7" fillId="0" borderId="14" xfId="0" applyFont="1" applyFill="1" applyBorder="1" applyAlignment="1">
      <alignment horizontal="right"/>
    </xf>
    <xf numFmtId="0" fontId="7" fillId="0" borderId="16" xfId="0" applyFont="1" applyFill="1" applyBorder="1" applyAlignment="1">
      <alignment horizontal="right"/>
    </xf>
    <xf numFmtId="0" fontId="52" fillId="26" borderId="0" xfId="0" applyFont="1" applyFill="1" applyAlignment="1">
      <alignment horizontal="left"/>
    </xf>
    <xf numFmtId="0" fontId="39" fillId="0" borderId="22" xfId="0" applyFont="1" applyFill="1" applyBorder="1" applyAlignment="1"/>
    <xf numFmtId="0" fontId="61" fillId="27" borderId="22" xfId="0" applyFont="1" applyFill="1" applyBorder="1" applyAlignment="1">
      <alignment horizontal="center"/>
    </xf>
    <xf numFmtId="0" fontId="39" fillId="0" borderId="0" xfId="0" quotePrefix="1" applyFont="1" applyAlignment="1">
      <alignment horizontal="left"/>
    </xf>
    <xf numFmtId="0" fontId="68" fillId="0" borderId="0" xfId="0" applyFont="1"/>
    <xf numFmtId="0" fontId="7" fillId="0" borderId="0" xfId="0" applyFont="1" applyAlignment="1">
      <alignment horizontal="left"/>
    </xf>
    <xf numFmtId="0" fontId="50" fillId="0" borderId="0" xfId="0" quotePrefix="1" applyFont="1" applyAlignment="1">
      <alignment horizontal="left"/>
    </xf>
    <xf numFmtId="0" fontId="46" fillId="0" borderId="0" xfId="0" quotePrefix="1" applyFont="1" applyAlignment="1">
      <alignment horizontal="center"/>
    </xf>
    <xf numFmtId="170" fontId="46" fillId="0" borderId="0" xfId="0" quotePrefix="1" applyNumberFormat="1" applyFont="1" applyBorder="1" applyAlignment="1">
      <alignment horizontal="center"/>
    </xf>
    <xf numFmtId="0" fontId="52" fillId="0" borderId="0" xfId="0" applyFont="1" applyAlignment="1">
      <alignment horizontal="left"/>
    </xf>
    <xf numFmtId="0" fontId="55" fillId="0" borderId="0" xfId="0" applyFont="1" applyFill="1" applyAlignment="1"/>
    <xf numFmtId="0" fontId="55" fillId="0" borderId="0" xfId="0" quotePrefix="1" applyFont="1" applyAlignment="1">
      <alignment horizontal="left"/>
    </xf>
    <xf numFmtId="0" fontId="67" fillId="0" borderId="0" xfId="0" applyFont="1" applyFill="1" applyAlignment="1">
      <alignment horizontal="right"/>
    </xf>
    <xf numFmtId="0" fontId="46" fillId="0" borderId="0" xfId="0" quotePrefix="1" applyFont="1" applyAlignment="1">
      <alignment horizontal="right"/>
    </xf>
    <xf numFmtId="0" fontId="39" fillId="0" borderId="28" xfId="0" applyFont="1" applyFill="1" applyBorder="1" applyAlignment="1">
      <alignment horizontal="center"/>
    </xf>
    <xf numFmtId="168" fontId="7" fillId="0" borderId="29" xfId="191" applyFont="1" applyBorder="1" applyAlignment="1" applyProtection="1">
      <alignment horizontal="center"/>
      <protection locked="0"/>
    </xf>
    <xf numFmtId="168" fontId="7" fillId="0" borderId="29" xfId="191" quotePrefix="1" applyFont="1" applyBorder="1" applyAlignment="1" applyProtection="1">
      <alignment horizontal="center"/>
      <protection locked="0"/>
    </xf>
    <xf numFmtId="3" fontId="7" fillId="0" borderId="30" xfId="191" applyNumberFormat="1" applyFont="1" applyBorder="1" applyAlignment="1" applyProtection="1">
      <alignment horizontal="center"/>
      <protection locked="0"/>
    </xf>
    <xf numFmtId="0" fontId="55" fillId="0" borderId="24" xfId="0" applyFont="1" applyBorder="1"/>
    <xf numFmtId="169" fontId="7" fillId="0" borderId="13" xfId="86" quotePrefix="1" applyNumberFormat="1" applyFont="1" applyBorder="1" applyAlignment="1">
      <alignment horizontal="right"/>
    </xf>
    <xf numFmtId="0" fontId="57" fillId="0" borderId="31" xfId="86" applyNumberFormat="1" applyFont="1" applyFill="1" applyBorder="1" applyAlignment="1">
      <alignment horizontal="left"/>
    </xf>
    <xf numFmtId="169" fontId="7" fillId="0" borderId="32" xfId="86" quotePrefix="1" applyNumberFormat="1" applyFont="1" applyBorder="1" applyAlignment="1">
      <alignment horizontal="right"/>
    </xf>
    <xf numFmtId="169" fontId="55" fillId="0" borderId="26" xfId="86" applyNumberFormat="1" applyFont="1" applyBorder="1"/>
    <xf numFmtId="0" fontId="7" fillId="0" borderId="15" xfId="0" quotePrefix="1" applyFont="1" applyBorder="1" applyAlignment="1">
      <alignment horizontal="right"/>
    </xf>
    <xf numFmtId="169" fontId="54" fillId="0" borderId="25" xfId="86" applyNumberFormat="1" applyFont="1" applyFill="1" applyBorder="1"/>
    <xf numFmtId="170" fontId="54" fillId="26" borderId="24" xfId="0" applyNumberFormat="1" applyFont="1" applyFill="1" applyBorder="1"/>
    <xf numFmtId="170" fontId="54" fillId="26" borderId="25" xfId="0" applyNumberFormat="1" applyFont="1" applyFill="1" applyBorder="1"/>
    <xf numFmtId="170" fontId="54" fillId="26" borderId="26" xfId="0" applyNumberFormat="1" applyFont="1" applyFill="1" applyBorder="1"/>
    <xf numFmtId="170" fontId="54" fillId="0" borderId="24" xfId="0" applyNumberFormat="1" applyFont="1" applyFill="1" applyBorder="1"/>
    <xf numFmtId="169" fontId="39" fillId="0" borderId="24" xfId="86" quotePrefix="1" applyNumberFormat="1" applyFont="1" applyBorder="1" applyAlignment="1">
      <alignment horizontal="center" wrapText="1"/>
    </xf>
    <xf numFmtId="169" fontId="39" fillId="0" borderId="24" xfId="86" applyNumberFormat="1" applyFont="1" applyFill="1" applyBorder="1" applyAlignment="1">
      <alignment horizontal="center" wrapText="1"/>
    </xf>
    <xf numFmtId="169" fontId="39" fillId="0" borderId="26" xfId="86" applyNumberFormat="1" applyFont="1" applyFill="1" applyBorder="1" applyAlignment="1">
      <alignment horizontal="center"/>
    </xf>
    <xf numFmtId="169" fontId="39" fillId="0" borderId="15" xfId="86" applyNumberFormat="1" applyFont="1" applyFill="1" applyBorder="1" applyAlignment="1">
      <alignment horizontal="center"/>
    </xf>
    <xf numFmtId="169" fontId="54" fillId="0" borderId="14" xfId="86" applyNumberFormat="1" applyFont="1" applyFill="1" applyBorder="1"/>
    <xf numFmtId="169" fontId="54" fillId="0" borderId="26" xfId="86" applyNumberFormat="1" applyFont="1" applyFill="1" applyBorder="1"/>
    <xf numFmtId="169" fontId="54" fillId="0" borderId="16" xfId="86" applyNumberFormat="1" applyFont="1" applyFill="1" applyBorder="1"/>
    <xf numFmtId="0" fontId="39" fillId="0" borderId="26" xfId="0" applyFont="1" applyBorder="1" applyAlignment="1">
      <alignment horizontal="center" wrapText="1"/>
    </xf>
    <xf numFmtId="169" fontId="39" fillId="0" borderId="0" xfId="86" quotePrefix="1" applyNumberFormat="1" applyFont="1" applyBorder="1" applyAlignment="1">
      <alignment horizontal="center" wrapText="1"/>
    </xf>
    <xf numFmtId="169" fontId="39" fillId="0" borderId="16" xfId="86" applyNumberFormat="1" applyFont="1" applyFill="1" applyBorder="1" applyAlignment="1">
      <alignment horizontal="center"/>
    </xf>
    <xf numFmtId="169" fontId="39" fillId="0" borderId="19" xfId="86" applyNumberFormat="1" applyFont="1" applyFill="1" applyBorder="1" applyAlignment="1">
      <alignment horizontal="center" wrapText="1"/>
    </xf>
    <xf numFmtId="169" fontId="39" fillId="0" borderId="19" xfId="86" applyNumberFormat="1" applyFont="1" applyBorder="1" applyAlignment="1">
      <alignment horizontal="center" wrapText="1"/>
    </xf>
    <xf numFmtId="0" fontId="0" fillId="0" borderId="0" xfId="0" applyProtection="1"/>
    <xf numFmtId="0" fontId="14" fillId="0" borderId="0" xfId="0" applyNumberFormat="1" applyFont="1" applyAlignment="1" applyProtection="1">
      <alignment horizontal="center"/>
    </xf>
    <xf numFmtId="3" fontId="14" fillId="0" borderId="0" xfId="0" quotePrefix="1" applyNumberFormat="1" applyFont="1" applyFill="1" applyAlignment="1" applyProtection="1">
      <alignment horizontal="center"/>
    </xf>
    <xf numFmtId="0" fontId="14" fillId="0" borderId="0" xfId="0" applyNumberFormat="1" applyFont="1" applyFill="1" applyAlignment="1" applyProtection="1">
      <alignment horizontal="center"/>
    </xf>
    <xf numFmtId="168" fontId="14" fillId="0" borderId="0" xfId="191" applyFont="1" applyFill="1" applyAlignment="1" applyProtection="1"/>
    <xf numFmtId="49" fontId="70" fillId="0" borderId="0" xfId="191" applyNumberFormat="1" applyFont="1" applyFill="1" applyAlignment="1" applyProtection="1">
      <alignment horizontal="center"/>
    </xf>
    <xf numFmtId="3" fontId="6" fillId="0" borderId="0" xfId="0"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0" xfId="0" quotePrefix="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xf>
    <xf numFmtId="0" fontId="39" fillId="0" borderId="11" xfId="0" applyFont="1" applyBorder="1" applyAlignment="1" applyProtection="1">
      <alignment horizontal="centerContinuous"/>
    </xf>
    <xf numFmtId="0" fontId="39" fillId="0" borderId="11" xfId="0" applyFont="1" applyBorder="1" applyAlignment="1" applyProtection="1">
      <alignment horizontal="left"/>
    </xf>
    <xf numFmtId="0" fontId="53" fillId="0" borderId="0" xfId="0" quotePrefix="1" applyFont="1" applyAlignment="1" applyProtection="1">
      <alignment horizontal="left"/>
    </xf>
    <xf numFmtId="0" fontId="39" fillId="0" borderId="0" xfId="0" applyFont="1" applyBorder="1" applyAlignment="1" applyProtection="1">
      <alignment horizontal="center"/>
    </xf>
    <xf numFmtId="0" fontId="65" fillId="0" borderId="11" xfId="0" quotePrefix="1" applyFont="1" applyBorder="1" applyAlignment="1" applyProtection="1">
      <alignment horizontal="centerContinuous"/>
    </xf>
    <xf numFmtId="0" fontId="65" fillId="0" borderId="0" xfId="0" quotePrefix="1" applyFont="1" applyBorder="1" applyAlignment="1" applyProtection="1">
      <alignment horizontal="centerContinuous"/>
    </xf>
    <xf numFmtId="0" fontId="65" fillId="0" borderId="11" xfId="0" applyFont="1" applyBorder="1" applyAlignment="1" applyProtection="1">
      <alignment horizontal="centerContinuous"/>
    </xf>
    <xf numFmtId="0" fontId="71" fillId="0" borderId="0" xfId="0" applyFont="1" applyFill="1" applyProtection="1"/>
    <xf numFmtId="0" fontId="65" fillId="0" borderId="0" xfId="0" applyFont="1" applyAlignment="1" applyProtection="1">
      <alignment horizontal="center" wrapText="1"/>
    </xf>
    <xf numFmtId="0" fontId="65" fillId="0" borderId="0" xfId="0" applyFont="1" applyAlignment="1" applyProtection="1">
      <alignment horizontal="center"/>
    </xf>
    <xf numFmtId="0" fontId="65" fillId="0" borderId="0" xfId="0" applyFont="1" applyBorder="1" applyAlignment="1" applyProtection="1">
      <alignment horizontal="center" wrapText="1"/>
    </xf>
    <xf numFmtId="0" fontId="65" fillId="0" borderId="0" xfId="0" quotePrefix="1" applyFont="1" applyBorder="1" applyAlignment="1" applyProtection="1">
      <alignment horizontal="center" wrapText="1"/>
    </xf>
    <xf numFmtId="0" fontId="65" fillId="0" borderId="0" xfId="0" applyFont="1" applyBorder="1" applyAlignment="1" applyProtection="1">
      <alignment horizontal="center"/>
    </xf>
    <xf numFmtId="0" fontId="65" fillId="0" borderId="0" xfId="0" quotePrefix="1" applyFont="1" applyFill="1" applyBorder="1" applyAlignment="1" applyProtection="1">
      <alignment horizontal="center" wrapText="1"/>
    </xf>
    <xf numFmtId="0" fontId="65" fillId="0" borderId="0" xfId="0" applyFont="1" applyFill="1" applyBorder="1" applyAlignment="1" applyProtection="1">
      <alignment horizontal="center" wrapText="1"/>
    </xf>
    <xf numFmtId="0" fontId="65" fillId="0" borderId="0" xfId="0" applyFont="1" applyFill="1" applyBorder="1" applyAlignment="1" applyProtection="1">
      <alignment horizontal="center"/>
    </xf>
    <xf numFmtId="0" fontId="0" fillId="0" borderId="41" xfId="0" applyBorder="1" applyAlignment="1" applyProtection="1">
      <alignment horizontal="center" wrapText="1"/>
    </xf>
    <xf numFmtId="0" fontId="39" fillId="0" borderId="0" xfId="0" applyFont="1" applyProtection="1"/>
    <xf numFmtId="0" fontId="0" fillId="0" borderId="25" xfId="0" applyBorder="1" applyProtection="1"/>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xf>
    <xf numFmtId="169" fontId="1" fillId="0" borderId="0" xfId="86" applyNumberFormat="1" applyFont="1" applyFill="1" applyAlignment="1" applyProtection="1">
      <alignment vertical="center"/>
    </xf>
    <xf numFmtId="169" fontId="1" fillId="0" borderId="0" xfId="86" applyNumberFormat="1" applyFill="1" applyAlignment="1" applyProtection="1">
      <alignment vertical="center"/>
    </xf>
    <xf numFmtId="0" fontId="0" fillId="0" borderId="0" xfId="0" applyFill="1" applyAlignment="1" applyProtection="1">
      <alignment vertical="center"/>
    </xf>
    <xf numFmtId="169" fontId="64" fillId="26" borderId="0" xfId="86" applyNumberFormat="1" applyFont="1" applyFill="1" applyAlignment="1" applyProtection="1">
      <alignment vertical="center"/>
    </xf>
    <xf numFmtId="169" fontId="1" fillId="0" borderId="0" xfId="86" applyNumberFormat="1" applyAlignment="1" applyProtection="1">
      <alignment vertical="center"/>
    </xf>
    <xf numFmtId="169" fontId="39" fillId="0" borderId="0" xfId="86" applyNumberFormat="1" applyFont="1" applyAlignment="1" applyProtection="1">
      <alignment horizontal="center" vertical="center"/>
    </xf>
    <xf numFmtId="169" fontId="0" fillId="0" borderId="25" xfId="0" applyNumberFormat="1" applyBorder="1" applyProtection="1"/>
    <xf numFmtId="169" fontId="39" fillId="0" borderId="0" xfId="86" applyNumberFormat="1" applyFont="1" applyAlignment="1" applyProtection="1">
      <alignment vertical="center"/>
    </xf>
    <xf numFmtId="169" fontId="1" fillId="0" borderId="0" xfId="86" applyNumberFormat="1" applyFont="1" applyFill="1" applyBorder="1" applyAlignment="1" applyProtection="1">
      <alignment vertical="center"/>
    </xf>
    <xf numFmtId="169" fontId="1" fillId="0" borderId="0" xfId="86" applyNumberFormat="1" applyFill="1" applyBorder="1" applyAlignment="1" applyProtection="1">
      <alignment vertical="center"/>
    </xf>
    <xf numFmtId="0" fontId="0" fillId="0" borderId="0" xfId="0" applyFill="1" applyBorder="1" applyAlignment="1" applyProtection="1">
      <alignment vertical="center"/>
    </xf>
    <xf numFmtId="169" fontId="64" fillId="26" borderId="0" xfId="86" applyNumberFormat="1" applyFont="1" applyFill="1" applyBorder="1" applyAlignment="1" applyProtection="1">
      <alignment vertical="center"/>
    </xf>
    <xf numFmtId="169" fontId="1" fillId="0" borderId="0" xfId="86" applyNumberFormat="1" applyBorder="1" applyAlignment="1" applyProtection="1">
      <alignment vertical="center"/>
    </xf>
    <xf numFmtId="169" fontId="39" fillId="0" borderId="0" xfId="86" applyNumberFormat="1" applyFont="1" applyBorder="1" applyAlignment="1" applyProtection="1">
      <alignment vertical="center"/>
    </xf>
    <xf numFmtId="0" fontId="7" fillId="0" borderId="0" xfId="0" quotePrefix="1" applyFont="1" applyAlignment="1" applyProtection="1">
      <alignment horizontal="center" vertical="center"/>
    </xf>
    <xf numFmtId="169" fontId="1" fillId="0" borderId="0" xfId="86" applyNumberFormat="1" applyFont="1" applyBorder="1" applyAlignment="1" applyProtection="1">
      <alignment vertical="center"/>
    </xf>
    <xf numFmtId="0" fontId="39" fillId="0" borderId="2" xfId="0" applyFont="1" applyBorder="1" applyAlignment="1" applyProtection="1">
      <alignment horizontal="center" vertical="center"/>
    </xf>
    <xf numFmtId="0" fontId="0" fillId="0" borderId="2" xfId="0" applyBorder="1" applyAlignment="1" applyProtection="1">
      <alignment horizontal="center" vertical="center"/>
    </xf>
    <xf numFmtId="169" fontId="1" fillId="0" borderId="2" xfId="86" applyNumberFormat="1" applyBorder="1" applyAlignment="1" applyProtection="1">
      <alignment vertical="center"/>
    </xf>
    <xf numFmtId="169" fontId="64" fillId="26" borderId="2" xfId="86" applyNumberFormat="1" applyFont="1" applyFill="1" applyBorder="1" applyAlignment="1" applyProtection="1">
      <alignment vertical="center"/>
    </xf>
    <xf numFmtId="169" fontId="39" fillId="0" borderId="25" xfId="0" applyNumberFormat="1" applyFont="1" applyBorder="1" applyProtection="1"/>
    <xf numFmtId="0" fontId="64" fillId="0" borderId="0" xfId="0" quotePrefix="1" applyFont="1" applyAlignment="1" applyProtection="1">
      <alignment horizontal="left"/>
    </xf>
    <xf numFmtId="0" fontId="7" fillId="0" borderId="0" xfId="0" applyFont="1" applyAlignment="1" applyProtection="1">
      <alignment vertical="center"/>
    </xf>
    <xf numFmtId="169" fontId="72" fillId="0" borderId="0" xfId="86" applyNumberFormat="1" applyFont="1" applyAlignment="1" applyProtection="1">
      <alignment horizontal="center" vertical="center"/>
    </xf>
    <xf numFmtId="43" fontId="53" fillId="0" borderId="0" xfId="86" applyFont="1" applyAlignment="1" applyProtection="1">
      <alignment horizontal="center" vertical="center"/>
    </xf>
    <xf numFmtId="43" fontId="74" fillId="0" borderId="0" xfId="86" applyFont="1" applyAlignment="1" applyProtection="1">
      <alignment horizontal="left" vertical="center"/>
    </xf>
    <xf numFmtId="169" fontId="74" fillId="0" borderId="0" xfId="86" applyNumberFormat="1" applyFont="1" applyAlignment="1" applyProtection="1">
      <alignment horizontal="center" vertical="center"/>
    </xf>
    <xf numFmtId="43" fontId="1" fillId="0" borderId="0" xfId="86" applyAlignment="1" applyProtection="1">
      <alignment vertical="center"/>
    </xf>
    <xf numFmtId="169" fontId="0" fillId="0" borderId="26" xfId="0" applyNumberFormat="1" applyBorder="1" applyProtection="1"/>
    <xf numFmtId="0" fontId="7" fillId="0" borderId="0" xfId="0" quotePrefix="1" applyFont="1" applyAlignment="1" applyProtection="1">
      <alignment horizontal="left" vertical="center"/>
    </xf>
    <xf numFmtId="174" fontId="5" fillId="0" borderId="0" xfId="0" applyNumberFormat="1" applyFont="1" applyAlignment="1" applyProtection="1">
      <alignment horizontal="center" vertical="center"/>
    </xf>
    <xf numFmtId="0" fontId="0" fillId="0" borderId="0" xfId="0" quotePrefix="1" applyAlignment="1" applyProtection="1">
      <alignment horizontal="left" vertical="center"/>
    </xf>
    <xf numFmtId="169" fontId="64" fillId="26" borderId="0" xfId="0" applyNumberFormat="1" applyFont="1" applyFill="1" applyAlignment="1" applyProtection="1">
      <alignment vertical="center"/>
    </xf>
    <xf numFmtId="169" fontId="1" fillId="0" borderId="0" xfId="86" applyNumberFormat="1" applyProtection="1"/>
    <xf numFmtId="164" fontId="1" fillId="0" borderId="0" xfId="0" applyNumberFormat="1" applyFont="1" applyFill="1" applyProtection="1"/>
    <xf numFmtId="43" fontId="1" fillId="0" borderId="0" xfId="86" applyProtection="1"/>
    <xf numFmtId="0" fontId="0" fillId="0" borderId="33" xfId="0" applyBorder="1" applyProtection="1"/>
    <xf numFmtId="0" fontId="0" fillId="0" borderId="2" xfId="0" applyBorder="1" applyProtection="1"/>
    <xf numFmtId="169" fontId="1" fillId="0" borderId="2" xfId="86" applyNumberFormat="1" applyBorder="1" applyProtection="1"/>
    <xf numFmtId="0" fontId="0" fillId="0" borderId="27" xfId="0" applyBorder="1" applyProtection="1"/>
    <xf numFmtId="0" fontId="0" fillId="0" borderId="34" xfId="0" applyBorder="1" applyProtection="1"/>
    <xf numFmtId="0" fontId="0" fillId="0" borderId="0" xfId="0" applyBorder="1" applyProtection="1"/>
    <xf numFmtId="0" fontId="0" fillId="0" borderId="0" xfId="0" applyBorder="1" applyAlignment="1" applyProtection="1">
      <alignment horizontal="center"/>
    </xf>
    <xf numFmtId="49" fontId="70" fillId="0" borderId="0" xfId="191" applyNumberFormat="1" applyFont="1" applyFill="1" applyBorder="1" applyAlignment="1" applyProtection="1">
      <alignment horizontal="center"/>
    </xf>
    <xf numFmtId="0" fontId="0" fillId="0" borderId="35" xfId="0" applyBorder="1" applyAlignment="1" applyProtection="1">
      <alignment horizontal="center"/>
    </xf>
    <xf numFmtId="0" fontId="0" fillId="0" borderId="36" xfId="0" applyBorder="1" applyProtection="1"/>
    <xf numFmtId="0" fontId="0" fillId="0" borderId="11" xfId="0" applyBorder="1" applyProtection="1"/>
    <xf numFmtId="169" fontId="1" fillId="0" borderId="11" xfId="86" applyNumberFormat="1" applyBorder="1" applyProtection="1"/>
    <xf numFmtId="0" fontId="0" fillId="0" borderId="37" xfId="0" applyBorder="1" applyProtection="1"/>
    <xf numFmtId="0" fontId="0" fillId="0" borderId="0" xfId="0" quotePrefix="1" applyAlignment="1" applyProtection="1">
      <alignment horizontal="center"/>
    </xf>
    <xf numFmtId="43" fontId="0" fillId="0" borderId="0" xfId="86" applyFont="1" applyProtection="1"/>
    <xf numFmtId="43" fontId="0" fillId="0" borderId="0" xfId="0" applyNumberFormat="1" applyProtection="1"/>
    <xf numFmtId="43" fontId="0" fillId="0" borderId="0" xfId="196" applyNumberFormat="1" applyFont="1" applyProtection="1"/>
    <xf numFmtId="0" fontId="39" fillId="0" borderId="0" xfId="0" quotePrefix="1" applyFont="1" applyAlignment="1" applyProtection="1">
      <alignment horizontal="left"/>
    </xf>
    <xf numFmtId="0" fontId="47" fillId="0" borderId="0" xfId="0" applyFont="1" applyFill="1" applyProtection="1"/>
    <xf numFmtId="170" fontId="0" fillId="0" borderId="0" xfId="106" applyNumberFormat="1" applyFont="1" applyProtection="1"/>
    <xf numFmtId="0" fontId="9" fillId="0" borderId="0" xfId="0" applyFont="1" applyAlignment="1" applyProtection="1">
      <alignment horizontal="left"/>
    </xf>
    <xf numFmtId="0" fontId="7" fillId="0" borderId="0" xfId="191" applyNumberFormat="1" applyFont="1" applyBorder="1" applyAlignment="1" applyProtection="1"/>
    <xf numFmtId="3" fontId="7" fillId="0" borderId="0" xfId="191" applyNumberFormat="1" applyFont="1" applyAlignment="1" applyProtection="1"/>
    <xf numFmtId="10" fontId="7" fillId="0" borderId="0" xfId="191" applyNumberFormat="1" applyFont="1" applyAlignment="1" applyProtection="1"/>
    <xf numFmtId="166" fontId="7" fillId="0" borderId="0" xfId="191" applyNumberFormat="1" applyFont="1" applyAlignment="1" applyProtection="1"/>
    <xf numFmtId="43" fontId="7" fillId="0" borderId="0" xfId="86" applyFont="1" applyAlignment="1" applyProtection="1"/>
    <xf numFmtId="168" fontId="7" fillId="0" borderId="0" xfId="191" applyFont="1" applyAlignment="1" applyProtection="1"/>
    <xf numFmtId="168" fontId="7" fillId="0" borderId="0" xfId="191" applyFont="1" applyBorder="1" applyAlignment="1" applyProtection="1"/>
    <xf numFmtId="0" fontId="7" fillId="0" borderId="0" xfId="0" applyFont="1" applyProtection="1"/>
    <xf numFmtId="0" fontId="7" fillId="0" borderId="0" xfId="0" applyFont="1" applyFill="1" applyProtection="1"/>
    <xf numFmtId="0" fontId="7" fillId="26" borderId="0" xfId="86" applyNumberFormat="1" applyFont="1" applyFill="1" applyAlignment="1" applyProtection="1"/>
    <xf numFmtId="10" fontId="7" fillId="0" borderId="0" xfId="191" applyNumberFormat="1" applyFont="1" applyFill="1" applyAlignment="1" applyProtection="1">
      <alignment horizontal="right"/>
    </xf>
    <xf numFmtId="3" fontId="39" fillId="0" borderId="0" xfId="191" applyNumberFormat="1" applyFont="1" applyAlignment="1" applyProtection="1"/>
    <xf numFmtId="0" fontId="7" fillId="0" borderId="0" xfId="0" applyFont="1" applyFill="1" applyBorder="1" applyProtection="1"/>
    <xf numFmtId="3" fontId="48" fillId="0" borderId="0" xfId="191" applyNumberFormat="1" applyFont="1" applyAlignment="1" applyProtection="1">
      <alignment horizontal="center"/>
    </xf>
    <xf numFmtId="10" fontId="48" fillId="0" borderId="0" xfId="191" applyNumberFormat="1" applyFont="1" applyFill="1" applyAlignment="1" applyProtection="1">
      <alignment horizontal="center"/>
    </xf>
    <xf numFmtId="0" fontId="7" fillId="0" borderId="0" xfId="191" applyNumberFormat="1" applyFont="1" applyFill="1" applyBorder="1" applyAlignment="1" applyProtection="1">
      <alignment horizontal="right"/>
    </xf>
    <xf numFmtId="10" fontId="0" fillId="0" borderId="0" xfId="0" applyNumberFormat="1" applyAlignment="1" applyProtection="1">
      <alignment horizontal="center"/>
    </xf>
    <xf numFmtId="10" fontId="7" fillId="0" borderId="0" xfId="196" applyNumberFormat="1" applyFont="1" applyAlignment="1" applyProtection="1">
      <alignment horizontal="center"/>
    </xf>
    <xf numFmtId="10" fontId="7" fillId="0" borderId="0" xfId="196" applyNumberFormat="1" applyFont="1" applyFill="1" applyAlignment="1" applyProtection="1"/>
    <xf numFmtId="165" fontId="7" fillId="0" borderId="0" xfId="191" applyNumberFormat="1" applyFont="1" applyAlignment="1" applyProtection="1">
      <alignment horizontal="center"/>
    </xf>
    <xf numFmtId="165" fontId="7" fillId="0" borderId="0" xfId="191" applyNumberFormat="1" applyFont="1" applyBorder="1" applyAlignment="1" applyProtection="1">
      <alignment horizontal="center"/>
    </xf>
    <xf numFmtId="168" fontId="7" fillId="0" borderId="13" xfId="191" applyFont="1" applyBorder="1" applyAlignment="1" applyProtection="1"/>
    <xf numFmtId="0" fontId="7" fillId="0" borderId="0" xfId="191" applyNumberFormat="1" applyFont="1" applyBorder="1" applyAlignment="1" applyProtection="1">
      <alignment horizontal="center"/>
    </xf>
    <xf numFmtId="3" fontId="7" fillId="0" borderId="14" xfId="191" applyNumberFormat="1" applyFont="1" applyBorder="1" applyAlignment="1" applyProtection="1"/>
    <xf numFmtId="41" fontId="7" fillId="0" borderId="0" xfId="191" applyNumberFormat="1" applyFont="1" applyAlignment="1" applyProtection="1"/>
    <xf numFmtId="41" fontId="7" fillId="0" borderId="0" xfId="191" applyNumberFormat="1" applyFont="1" applyAlignment="1" applyProtection="1">
      <alignment horizontal="center"/>
    </xf>
    <xf numFmtId="41" fontId="7" fillId="0" borderId="0" xfId="191" applyNumberFormat="1" applyFont="1" applyBorder="1" applyAlignment="1" applyProtection="1">
      <alignment horizontal="center"/>
    </xf>
    <xf numFmtId="0" fontId="0" fillId="0" borderId="13" xfId="0" applyBorder="1" applyProtection="1"/>
    <xf numFmtId="0" fontId="0" fillId="0" borderId="14" xfId="0" applyBorder="1" applyProtection="1"/>
    <xf numFmtId="0" fontId="7" fillId="0" borderId="0" xfId="191" applyNumberFormat="1" applyFont="1" applyBorder="1" applyAlignment="1" applyProtection="1">
      <alignment horizontal="right"/>
    </xf>
    <xf numFmtId="10" fontId="48" fillId="0" borderId="0" xfId="196" applyNumberFormat="1" applyFont="1" applyFill="1" applyAlignment="1" applyProtection="1"/>
    <xf numFmtId="165" fontId="15" fillId="0" borderId="15" xfId="191" applyNumberFormat="1" applyFont="1" applyBorder="1" applyAlignment="1" applyProtection="1">
      <alignment horizontal="center"/>
    </xf>
    <xf numFmtId="0" fontId="7" fillId="27" borderId="6" xfId="191" applyNumberFormat="1" applyFont="1" applyFill="1" applyBorder="1" applyAlignment="1" applyProtection="1">
      <alignment horizontal="center"/>
    </xf>
    <xf numFmtId="169" fontId="7" fillId="0" borderId="6" xfId="191" applyNumberFormat="1" applyFont="1" applyBorder="1" applyAlignment="1" applyProtection="1">
      <alignment horizontal="center"/>
    </xf>
    <xf numFmtId="170" fontId="0" fillId="0" borderId="16" xfId="0" applyNumberFormat="1" applyBorder="1" applyProtection="1"/>
    <xf numFmtId="10" fontId="7" fillId="0" borderId="0" xfId="196" applyNumberFormat="1" applyFont="1" applyAlignment="1" applyProtection="1">
      <alignment horizontal="right"/>
    </xf>
    <xf numFmtId="0" fontId="63" fillId="0" borderId="0" xfId="0" applyFont="1" applyAlignment="1" applyProtection="1">
      <alignment horizontal="center"/>
    </xf>
    <xf numFmtId="10" fontId="7" fillId="0" borderId="0" xfId="191" applyNumberFormat="1" applyFont="1" applyFill="1" applyAlignment="1" applyProtection="1">
      <alignment horizontal="left"/>
    </xf>
    <xf numFmtId="41" fontId="7" fillId="0" borderId="0" xfId="191" applyNumberFormat="1" applyFont="1" applyBorder="1" applyAlignment="1" applyProtection="1"/>
    <xf numFmtId="41" fontId="7" fillId="0" borderId="0" xfId="191" applyNumberFormat="1" applyFont="1" applyFill="1" applyAlignment="1" applyProtection="1"/>
    <xf numFmtId="0" fontId="7" fillId="0" borderId="0" xfId="191" applyNumberFormat="1" applyFont="1" applyAlignment="1" applyProtection="1">
      <alignment horizontal="center"/>
    </xf>
    <xf numFmtId="169" fontId="0" fillId="0" borderId="0" xfId="0" applyNumberFormat="1" applyProtection="1"/>
    <xf numFmtId="0" fontId="7" fillId="0" borderId="0" xfId="0" applyFont="1" applyBorder="1" applyProtection="1"/>
    <xf numFmtId="41" fontId="7" fillId="0" borderId="0" xfId="191" quotePrefix="1" applyNumberFormat="1" applyFont="1" applyBorder="1" applyAlignment="1" applyProtection="1"/>
    <xf numFmtId="41" fontId="7" fillId="0" borderId="0" xfId="191" applyNumberFormat="1" applyFont="1" applyFill="1" applyBorder="1" applyAlignment="1" applyProtection="1">
      <alignment horizontal="right"/>
    </xf>
    <xf numFmtId="171" fontId="7" fillId="0" borderId="11" xfId="191" applyNumberFormat="1" applyFont="1" applyBorder="1" applyAlignment="1" applyProtection="1"/>
    <xf numFmtId="43" fontId="7" fillId="0" borderId="0" xfId="191" applyNumberFormat="1" applyFont="1" applyBorder="1" applyAlignment="1" applyProtection="1"/>
    <xf numFmtId="164" fontId="7" fillId="0" borderId="0" xfId="191" applyNumberFormat="1" applyFont="1" applyFill="1" applyBorder="1" applyAlignment="1" applyProtection="1">
      <alignment horizontal="left"/>
    </xf>
    <xf numFmtId="164" fontId="7" fillId="0" borderId="0" xfId="191" applyNumberFormat="1" applyFont="1" applyBorder="1" applyAlignment="1" applyProtection="1">
      <alignment horizontal="left"/>
    </xf>
    <xf numFmtId="3" fontId="7" fillId="0" borderId="0" xfId="191" applyNumberFormat="1" applyFont="1" applyAlignment="1" applyProtection="1">
      <alignment vertical="center" wrapText="1"/>
    </xf>
    <xf numFmtId="41" fontId="7" fillId="0" borderId="0" xfId="191" applyNumberFormat="1" applyFont="1" applyBorder="1" applyAlignment="1" applyProtection="1">
      <alignment vertical="center"/>
    </xf>
    <xf numFmtId="41" fontId="7" fillId="0" borderId="0" xfId="191" applyNumberFormat="1" applyFont="1" applyBorder="1" applyAlignment="1" applyProtection="1">
      <alignment horizontal="center" vertical="center"/>
    </xf>
    <xf numFmtId="0" fontId="39" fillId="0" borderId="0" xfId="0" applyFont="1" applyFill="1" applyBorder="1" applyProtection="1"/>
    <xf numFmtId="3" fontId="7" fillId="0" borderId="0" xfId="191" applyNumberFormat="1" applyFont="1" applyAlignment="1" applyProtection="1">
      <alignment horizontal="right"/>
    </xf>
    <xf numFmtId="41" fontId="7" fillId="0" borderId="0" xfId="191" applyNumberFormat="1" applyFont="1" applyAlignment="1" applyProtection="1">
      <alignment horizontal="right"/>
    </xf>
    <xf numFmtId="10" fontId="7" fillId="0" borderId="0" xfId="0" applyNumberFormat="1" applyFont="1" applyBorder="1" applyProtection="1"/>
    <xf numFmtId="0" fontId="7" fillId="0" borderId="0" xfId="0" applyFont="1" applyAlignment="1" applyProtection="1">
      <alignment horizontal="center"/>
    </xf>
    <xf numFmtId="10" fontId="7" fillId="0" borderId="0" xfId="191" applyNumberFormat="1" applyFont="1" applyFill="1" applyBorder="1" applyAlignment="1" applyProtection="1">
      <alignment horizontal="right"/>
    </xf>
    <xf numFmtId="169" fontId="7" fillId="0" borderId="0" xfId="86" applyNumberFormat="1" applyFont="1" applyBorder="1" applyProtection="1"/>
    <xf numFmtId="164" fontId="7" fillId="0" borderId="2" xfId="191" applyNumberFormat="1" applyFont="1" applyFill="1" applyBorder="1" applyAlignment="1" applyProtection="1">
      <alignment horizontal="left"/>
    </xf>
    <xf numFmtId="0" fontId="7" fillId="0" borderId="2" xfId="0" applyFont="1" applyFill="1" applyBorder="1" applyAlignment="1" applyProtection="1">
      <alignment horizontal="center"/>
    </xf>
    <xf numFmtId="41" fontId="7" fillId="0" borderId="2" xfId="0" applyNumberFormat="1" applyFont="1" applyBorder="1" applyProtection="1"/>
    <xf numFmtId="41" fontId="7" fillId="0" borderId="0" xfId="0" applyNumberFormat="1" applyFont="1" applyBorder="1" applyProtection="1"/>
    <xf numFmtId="0" fontId="7" fillId="0" borderId="0" xfId="0" applyFont="1" applyFill="1" applyBorder="1" applyAlignment="1" applyProtection="1"/>
    <xf numFmtId="3" fontId="14" fillId="0" borderId="0" xfId="191" applyNumberFormat="1" applyFont="1" applyFill="1" applyBorder="1" applyAlignment="1" applyProtection="1"/>
    <xf numFmtId="41" fontId="7" fillId="0" borderId="0" xfId="191" applyNumberFormat="1" applyFont="1" applyFill="1" applyBorder="1" applyAlignment="1" applyProtection="1"/>
    <xf numFmtId="3" fontId="14" fillId="0" borderId="0" xfId="191" applyNumberFormat="1" applyFont="1" applyFill="1" applyBorder="1" applyAlignment="1" applyProtection="1">
      <alignment horizontal="center"/>
    </xf>
    <xf numFmtId="41" fontId="14" fillId="0" borderId="0" xfId="191" applyNumberFormat="1" applyFont="1" applyFill="1" applyBorder="1" applyAlignment="1" applyProtection="1"/>
    <xf numFmtId="0" fontId="14" fillId="0" borderId="0" xfId="191" applyNumberFormat="1" applyFont="1" applyFill="1" applyBorder="1" applyAlignment="1" applyProtection="1"/>
    <xf numFmtId="0" fontId="6" fillId="0" borderId="0" xfId="0" applyFont="1" applyFill="1" applyProtection="1"/>
    <xf numFmtId="0" fontId="9" fillId="0" borderId="0" xfId="0" applyFont="1" applyFill="1" applyAlignment="1" applyProtection="1">
      <alignment horizontal="left"/>
    </xf>
    <xf numFmtId="3" fontId="7" fillId="0" borderId="0" xfId="191" applyNumberFormat="1" applyFont="1" applyFill="1" applyBorder="1" applyAlignment="1" applyProtection="1"/>
    <xf numFmtId="41" fontId="7" fillId="0" borderId="0" xfId="191" applyNumberFormat="1" applyFont="1" applyFill="1" applyBorder="1" applyAlignment="1" applyProtection="1">
      <alignment horizontal="center"/>
    </xf>
    <xf numFmtId="0" fontId="7" fillId="0" borderId="0" xfId="191" applyNumberFormat="1" applyFont="1" applyFill="1" applyBorder="1" applyProtection="1"/>
    <xf numFmtId="3" fontId="7" fillId="0" borderId="0" xfId="191" applyNumberFormat="1" applyFont="1" applyFill="1" applyBorder="1" applyAlignment="1" applyProtection="1">
      <alignment horizontal="center"/>
    </xf>
    <xf numFmtId="0" fontId="7" fillId="0" borderId="0" xfId="191" applyNumberFormat="1" applyFont="1" applyFill="1" applyBorder="1" applyAlignment="1" applyProtection="1"/>
    <xf numFmtId="41" fontId="7" fillId="0" borderId="11" xfId="191" applyNumberFormat="1" applyFont="1" applyFill="1" applyBorder="1" applyAlignment="1" applyProtection="1"/>
    <xf numFmtId="0" fontId="7" fillId="0" borderId="0" xfId="191" applyNumberFormat="1" applyFont="1" applyFill="1" applyBorder="1" applyAlignment="1" applyProtection="1">
      <alignment horizontal="center"/>
    </xf>
    <xf numFmtId="10" fontId="7" fillId="0" borderId="0" xfId="191" applyNumberFormat="1" applyFont="1" applyFill="1" applyBorder="1" applyAlignment="1" applyProtection="1"/>
    <xf numFmtId="167" fontId="7" fillId="0" borderId="0" xfId="191" applyNumberFormat="1" applyFont="1" applyFill="1" applyBorder="1" applyAlignment="1" applyProtection="1"/>
    <xf numFmtId="168" fontId="7" fillId="0" borderId="0" xfId="191" applyFont="1" applyFill="1" applyBorder="1" applyAlignment="1" applyProtection="1"/>
    <xf numFmtId="3" fontId="7" fillId="0" borderId="0" xfId="191" quotePrefix="1" applyNumberFormat="1" applyFont="1" applyFill="1" applyBorder="1" applyAlignment="1" applyProtection="1"/>
    <xf numFmtId="3" fontId="39" fillId="0" borderId="0" xfId="191" applyNumberFormat="1" applyFont="1" applyFill="1" applyBorder="1" applyAlignment="1" applyProtection="1">
      <alignment horizontal="right"/>
    </xf>
    <xf numFmtId="167" fontId="39" fillId="0" borderId="0" xfId="191" applyNumberFormat="1" applyFont="1" applyFill="1" applyBorder="1" applyAlignment="1" applyProtection="1"/>
    <xf numFmtId="3" fontId="39" fillId="0" borderId="0" xfId="191" quotePrefix="1" applyNumberFormat="1" applyFont="1" applyFill="1" applyBorder="1" applyAlignment="1" applyProtection="1"/>
    <xf numFmtId="0" fontId="7" fillId="0" borderId="0" xfId="0" applyFont="1" applyFill="1" applyBorder="1" applyAlignment="1" applyProtection="1">
      <alignment horizontal="center"/>
    </xf>
    <xf numFmtId="41" fontId="7" fillId="0" borderId="0" xfId="0" applyNumberFormat="1" applyFont="1" applyFill="1" applyBorder="1" applyProtection="1"/>
    <xf numFmtId="169" fontId="7" fillId="0" borderId="0" xfId="86" applyNumberFormat="1" applyFont="1" applyFill="1" applyBorder="1" applyProtection="1"/>
    <xf numFmtId="41" fontId="48" fillId="0" borderId="0" xfId="191" applyNumberFormat="1" applyFont="1" applyFill="1" applyBorder="1" applyAlignment="1" applyProtection="1"/>
    <xf numFmtId="169" fontId="7" fillId="0" borderId="0" xfId="86" applyNumberFormat="1" applyFont="1" applyProtection="1"/>
    <xf numFmtId="41" fontId="7" fillId="0" borderId="0" xfId="0" applyNumberFormat="1" applyFont="1" applyProtection="1"/>
    <xf numFmtId="0" fontId="0" fillId="0" borderId="0" xfId="0" applyAlignment="1" applyProtection="1"/>
    <xf numFmtId="41" fontId="7" fillId="0" borderId="11" xfId="0" applyNumberFormat="1" applyFont="1" applyFill="1" applyBorder="1" applyProtection="1"/>
    <xf numFmtId="41" fontId="48" fillId="0" borderId="0" xfId="0" applyNumberFormat="1" applyFont="1" applyProtection="1"/>
    <xf numFmtId="0" fontId="0" fillId="0" borderId="0" xfId="0" applyFill="1" applyAlignment="1" applyProtection="1"/>
    <xf numFmtId="41" fontId="7" fillId="0" borderId="0" xfId="0" applyNumberFormat="1" applyFont="1" applyFill="1" applyProtection="1"/>
    <xf numFmtId="169" fontId="7" fillId="0" borderId="0" xfId="86" applyNumberFormat="1" applyFont="1" applyFill="1" applyProtection="1"/>
    <xf numFmtId="0" fontId="7" fillId="0" borderId="0" xfId="0" applyFont="1" applyFill="1" applyAlignment="1" applyProtection="1">
      <alignment horizontal="center"/>
    </xf>
    <xf numFmtId="10" fontId="7" fillId="0" borderId="11" xfId="0" applyNumberFormat="1" applyFont="1" applyFill="1" applyBorder="1" applyProtection="1"/>
    <xf numFmtId="9" fontId="7" fillId="0" borderId="11" xfId="196" applyFont="1" applyFill="1" applyBorder="1" applyProtection="1"/>
    <xf numFmtId="169" fontId="7" fillId="0" borderId="11" xfId="86" applyNumberFormat="1" applyFont="1" applyFill="1" applyBorder="1" applyAlignment="1" applyProtection="1"/>
    <xf numFmtId="41" fontId="0" fillId="0" borderId="0" xfId="0" applyNumberFormat="1" applyProtection="1"/>
    <xf numFmtId="41" fontId="7" fillId="0" borderId="11" xfId="0" applyNumberFormat="1" applyFont="1" applyBorder="1" applyProtection="1"/>
    <xf numFmtId="10" fontId="7" fillId="0" borderId="0" xfId="0" applyNumberFormat="1" applyFont="1" applyProtection="1"/>
    <xf numFmtId="10" fontId="48" fillId="0" borderId="0" xfId="0" applyNumberFormat="1" applyFont="1" applyProtection="1"/>
    <xf numFmtId="169" fontId="7" fillId="0" borderId="11" xfId="86" applyNumberFormat="1" applyFont="1" applyFill="1" applyBorder="1" applyProtection="1"/>
    <xf numFmtId="169" fontId="7" fillId="0" borderId="0" xfId="87" applyNumberFormat="1" applyFont="1" applyFill="1" applyBorder="1" applyProtection="1"/>
    <xf numFmtId="173" fontId="7" fillId="0" borderId="0" xfId="0" applyNumberFormat="1" applyFont="1" applyProtection="1"/>
    <xf numFmtId="10" fontId="7" fillId="0" borderId="0" xfId="0" applyNumberFormat="1" applyFont="1" applyFill="1" applyProtection="1"/>
    <xf numFmtId="43" fontId="7" fillId="0" borderId="0" xfId="86" applyFont="1" applyProtection="1"/>
    <xf numFmtId="43" fontId="7" fillId="0" borderId="0" xfId="86" applyNumberFormat="1" applyFont="1" applyProtection="1"/>
    <xf numFmtId="169" fontId="7" fillId="0" borderId="0" xfId="0" applyNumberFormat="1" applyFont="1" applyProtection="1"/>
    <xf numFmtId="0" fontId="7" fillId="0" borderId="0" xfId="0" applyNumberFormat="1" applyFont="1" applyBorder="1" applyAlignment="1" applyProtection="1">
      <alignment horizontal="center"/>
    </xf>
    <xf numFmtId="169" fontId="7" fillId="0" borderId="0" xfId="0" applyNumberFormat="1" applyFont="1" applyBorder="1" applyProtection="1"/>
    <xf numFmtId="170" fontId="7" fillId="0" borderId="0" xfId="0" applyNumberFormat="1" applyFont="1" applyBorder="1" applyProtection="1"/>
    <xf numFmtId="0" fontId="65" fillId="0" borderId="0" xfId="0" quotePrefix="1" applyFont="1" applyAlignment="1" applyProtection="1">
      <alignment horizontal="left"/>
    </xf>
    <xf numFmtId="0" fontId="0" fillId="0" borderId="0" xfId="0" quotePrefix="1" applyAlignment="1" applyProtection="1">
      <alignment horizontal="left"/>
    </xf>
    <xf numFmtId="0" fontId="66" fillId="0" borderId="0" xfId="0" quotePrefix="1" applyFont="1" applyAlignment="1" applyProtection="1">
      <alignment horizontal="left"/>
    </xf>
    <xf numFmtId="0" fontId="7" fillId="0" borderId="17" xfId="0" quotePrefix="1" applyFont="1" applyFill="1" applyBorder="1" applyAlignment="1" applyProtection="1">
      <alignment horizontal="left"/>
    </xf>
    <xf numFmtId="0" fontId="0" fillId="0" borderId="48" xfId="0" quotePrefix="1" applyBorder="1" applyAlignment="1" applyProtection="1">
      <alignment horizontal="left"/>
    </xf>
    <xf numFmtId="0" fontId="54" fillId="0" borderId="39" xfId="0" quotePrefix="1" applyFont="1" applyFill="1" applyBorder="1" applyAlignment="1" applyProtection="1">
      <alignment horizontal="right"/>
    </xf>
    <xf numFmtId="0" fontId="83" fillId="0" borderId="14" xfId="0" applyFont="1" applyBorder="1" applyProtection="1"/>
    <xf numFmtId="10" fontId="1" fillId="0" borderId="0" xfId="0" applyNumberFormat="1" applyFont="1" applyFill="1" applyProtection="1"/>
    <xf numFmtId="169" fontId="54" fillId="0" borderId="39" xfId="86" applyNumberFormat="1" applyFont="1" applyFill="1" applyBorder="1" applyProtection="1"/>
    <xf numFmtId="179" fontId="54" fillId="0" borderId="39" xfId="196" applyNumberFormat="1" applyFont="1" applyFill="1" applyBorder="1" applyProtection="1"/>
    <xf numFmtId="0" fontId="83" fillId="0" borderId="49" xfId="0" applyFont="1" applyBorder="1" applyProtection="1"/>
    <xf numFmtId="0" fontId="83" fillId="0" borderId="47" xfId="0" applyFont="1" applyBorder="1" applyProtection="1"/>
    <xf numFmtId="41" fontId="54" fillId="0" borderId="39" xfId="0" applyNumberFormat="1" applyFont="1" applyFill="1" applyBorder="1" applyProtection="1"/>
    <xf numFmtId="3" fontId="54" fillId="0" borderId="43" xfId="0" applyNumberFormat="1" applyFont="1" applyBorder="1" applyProtection="1"/>
    <xf numFmtId="10" fontId="54" fillId="0" borderId="13" xfId="0" applyNumberFormat="1" applyFont="1" applyFill="1" applyBorder="1" applyProtection="1"/>
    <xf numFmtId="0" fontId="54" fillId="0" borderId="14" xfId="0" applyFont="1" applyBorder="1" applyProtection="1"/>
    <xf numFmtId="41" fontId="54" fillId="0" borderId="13" xfId="0" applyNumberFormat="1" applyFont="1" applyBorder="1" applyProtection="1"/>
    <xf numFmtId="10" fontId="54" fillId="0" borderId="13" xfId="0" applyNumberFormat="1" applyFont="1" applyBorder="1" applyProtection="1"/>
    <xf numFmtId="0" fontId="54" fillId="0" borderId="20" xfId="0" applyFont="1" applyBorder="1" applyProtection="1"/>
    <xf numFmtId="169" fontId="54" fillId="0" borderId="39" xfId="0" applyNumberFormat="1" applyFont="1" applyBorder="1" applyProtection="1"/>
    <xf numFmtId="169" fontId="54" fillId="0" borderId="45" xfId="0" applyNumberFormat="1" applyFont="1" applyBorder="1" applyProtection="1"/>
    <xf numFmtId="0" fontId="54" fillId="0" borderId="50" xfId="0" applyFont="1" applyBorder="1" applyProtection="1"/>
    <xf numFmtId="0" fontId="7" fillId="0" borderId="0" xfId="0" applyNumberFormat="1" applyFont="1" applyFill="1" applyAlignment="1" applyProtection="1">
      <alignment horizontal="center"/>
    </xf>
    <xf numFmtId="169" fontId="54" fillId="0" borderId="46" xfId="0" applyNumberFormat="1" applyFont="1" applyBorder="1" applyProtection="1"/>
    <xf numFmtId="0" fontId="54" fillId="0" borderId="16" xfId="0" applyFont="1" applyBorder="1" applyProtection="1"/>
    <xf numFmtId="0" fontId="5" fillId="0" borderId="0" xfId="0" applyFont="1" applyProtection="1"/>
    <xf numFmtId="169" fontId="54" fillId="0" borderId="24" xfId="0" applyNumberFormat="1" applyFont="1" applyBorder="1" applyProtection="1"/>
    <xf numFmtId="169" fontId="54" fillId="0" borderId="25" xfId="0" applyNumberFormat="1" applyFont="1" applyBorder="1" applyProtection="1"/>
    <xf numFmtId="43" fontId="54" fillId="0" borderId="26" xfId="86" applyFont="1" applyBorder="1" applyProtection="1"/>
    <xf numFmtId="0" fontId="50" fillId="0" borderId="0" xfId="0" applyFont="1" applyFill="1" applyProtection="1"/>
    <xf numFmtId="0" fontId="0" fillId="0" borderId="0" xfId="0" applyAlignment="1" applyProtection="1">
      <alignment wrapText="1"/>
    </xf>
    <xf numFmtId="0" fontId="7" fillId="0" borderId="0" xfId="86" applyNumberFormat="1" applyFont="1" applyFill="1" applyAlignment="1" applyProtection="1"/>
    <xf numFmtId="168" fontId="15" fillId="0" borderId="17" xfId="191" applyFont="1" applyBorder="1" applyAlignment="1" applyProtection="1"/>
    <xf numFmtId="168" fontId="7" fillId="0" borderId="18" xfId="191" applyFont="1" applyBorder="1" applyAlignment="1" applyProtection="1"/>
    <xf numFmtId="3" fontId="7" fillId="0" borderId="19" xfId="191" applyNumberFormat="1" applyFont="1" applyBorder="1" applyAlignment="1" applyProtection="1"/>
    <xf numFmtId="0" fontId="7" fillId="27" borderId="0" xfId="191" applyNumberFormat="1" applyFont="1" applyFill="1" applyBorder="1" applyAlignment="1" applyProtection="1">
      <alignment horizontal="center"/>
    </xf>
    <xf numFmtId="166" fontId="7" fillId="0" borderId="0" xfId="191" applyNumberFormat="1" applyFont="1" applyAlignment="1" applyProtection="1">
      <alignment horizontal="center"/>
    </xf>
    <xf numFmtId="167" fontId="7" fillId="0" borderId="0" xfId="191" applyNumberFormat="1" applyFont="1" applyAlignment="1" applyProtection="1"/>
    <xf numFmtId="0" fontId="7" fillId="0" borderId="0" xfId="0" quotePrefix="1" applyFont="1" applyBorder="1" applyAlignment="1" applyProtection="1">
      <alignment horizontal="right"/>
    </xf>
    <xf numFmtId="170" fontId="0" fillId="0" borderId="0" xfId="0" applyNumberFormat="1" applyBorder="1" applyProtection="1"/>
    <xf numFmtId="170" fontId="0" fillId="0" borderId="14" xfId="0" applyNumberFormat="1" applyBorder="1" applyProtection="1"/>
    <xf numFmtId="0" fontId="0" fillId="0" borderId="0" xfId="0" quotePrefix="1" applyBorder="1" applyAlignment="1" applyProtection="1">
      <alignment horizontal="right"/>
    </xf>
    <xf numFmtId="170" fontId="0" fillId="0" borderId="6" xfId="0" applyNumberFormat="1" applyBorder="1" applyProtection="1"/>
    <xf numFmtId="167" fontId="48" fillId="0" borderId="0" xfId="191" applyNumberFormat="1" applyFont="1" applyAlignment="1" applyProtection="1"/>
    <xf numFmtId="0" fontId="0" fillId="0" borderId="0" xfId="0" applyBorder="1" applyAlignment="1" applyProtection="1">
      <alignment horizontal="right"/>
    </xf>
    <xf numFmtId="169" fontId="0" fillId="0" borderId="0" xfId="0" applyNumberFormat="1" applyBorder="1" applyProtection="1"/>
    <xf numFmtId="172" fontId="7" fillId="0" borderId="0" xfId="191" applyNumberFormat="1" applyFont="1" applyAlignment="1" applyProtection="1"/>
    <xf numFmtId="165" fontId="7" fillId="0" borderId="15" xfId="191" applyNumberFormat="1" applyFont="1" applyBorder="1" applyAlignment="1" applyProtection="1">
      <alignment horizontal="center"/>
    </xf>
    <xf numFmtId="0" fontId="7" fillId="0" borderId="6" xfId="191" applyNumberFormat="1" applyFont="1" applyBorder="1" applyAlignment="1" applyProtection="1">
      <alignment horizontal="center"/>
    </xf>
    <xf numFmtId="169" fontId="7" fillId="0" borderId="6" xfId="191" quotePrefix="1" applyNumberFormat="1" applyFont="1" applyBorder="1" applyAlignment="1" applyProtection="1">
      <alignment horizontal="center"/>
    </xf>
    <xf numFmtId="177" fontId="7" fillId="0" borderId="6" xfId="191" quotePrefix="1" applyNumberFormat="1" applyFont="1" applyBorder="1" applyAlignment="1" applyProtection="1">
      <alignment horizontal="center"/>
    </xf>
    <xf numFmtId="169" fontId="1" fillId="0" borderId="6" xfId="191" applyNumberFormat="1" applyFont="1" applyFill="1" applyBorder="1" applyAlignment="1" applyProtection="1">
      <alignment horizontal="center"/>
    </xf>
    <xf numFmtId="178" fontId="7" fillId="0" borderId="0" xfId="191" applyNumberFormat="1" applyFont="1" applyBorder="1" applyAlignment="1" applyProtection="1">
      <alignment horizontal="center"/>
    </xf>
    <xf numFmtId="169" fontId="7" fillId="0" borderId="0" xfId="191" applyNumberFormat="1" applyFont="1" applyBorder="1" applyAlignment="1" applyProtection="1">
      <alignment horizontal="center"/>
    </xf>
    <xf numFmtId="164" fontId="7" fillId="0" borderId="2" xfId="191" applyNumberFormat="1" applyFont="1" applyBorder="1" applyAlignment="1" applyProtection="1">
      <alignment horizontal="left"/>
    </xf>
    <xf numFmtId="0" fontId="7" fillId="0" borderId="2" xfId="0" applyFont="1" applyBorder="1" applyAlignment="1" applyProtection="1">
      <alignment horizontal="center"/>
    </xf>
    <xf numFmtId="0" fontId="1" fillId="0" borderId="0" xfId="191" applyNumberFormat="1" applyFont="1" applyFill="1" applyBorder="1" applyAlignment="1" applyProtection="1"/>
    <xf numFmtId="0" fontId="7" fillId="0" borderId="0" xfId="0" applyFont="1" applyBorder="1" applyAlignment="1" applyProtection="1">
      <alignment horizontal="center"/>
    </xf>
    <xf numFmtId="41" fontId="1" fillId="0" borderId="0" xfId="191" applyNumberFormat="1" applyFont="1" applyFill="1" applyBorder="1" applyAlignment="1" applyProtection="1"/>
    <xf numFmtId="3" fontId="14" fillId="0" borderId="2" xfId="191" applyNumberFormat="1" applyFont="1" applyFill="1" applyBorder="1" applyAlignment="1" applyProtection="1"/>
    <xf numFmtId="41" fontId="7" fillId="0" borderId="2" xfId="191" applyNumberFormat="1" applyFont="1" applyFill="1" applyBorder="1" applyAlignment="1" applyProtection="1"/>
    <xf numFmtId="41" fontId="48" fillId="0" borderId="11" xfId="191" applyNumberFormat="1" applyFont="1" applyFill="1" applyBorder="1" applyAlignment="1" applyProtection="1"/>
    <xf numFmtId="10" fontId="7" fillId="0" borderId="0" xfId="0" applyNumberFormat="1" applyFont="1" applyFill="1" applyBorder="1" applyProtection="1"/>
    <xf numFmtId="9" fontId="7" fillId="0" borderId="0" xfId="196" applyFont="1" applyFill="1" applyBorder="1" applyProtection="1"/>
    <xf numFmtId="169" fontId="7" fillId="0" borderId="0" xfId="86" applyNumberFormat="1" applyFont="1" applyFill="1" applyBorder="1" applyAlignment="1" applyProtection="1"/>
    <xf numFmtId="41" fontId="56" fillId="0" borderId="0" xfId="0" applyNumberFormat="1" applyFont="1" applyProtection="1"/>
    <xf numFmtId="10" fontId="0" fillId="0" borderId="0" xfId="0" applyNumberFormat="1" applyProtection="1"/>
    <xf numFmtId="164" fontId="1" fillId="0" borderId="0" xfId="196" applyNumberFormat="1" applyProtection="1"/>
    <xf numFmtId="169" fontId="7" fillId="0" borderId="0" xfId="87" applyNumberFormat="1" applyFont="1" applyFill="1" applyProtection="1"/>
    <xf numFmtId="169" fontId="7" fillId="0" borderId="11" xfId="87" applyNumberFormat="1" applyFont="1" applyFill="1" applyBorder="1" applyProtection="1"/>
    <xf numFmtId="0" fontId="7" fillId="0" borderId="38" xfId="0" quotePrefix="1" applyFont="1" applyFill="1" applyBorder="1" applyAlignment="1" applyProtection="1">
      <alignment horizontal="left"/>
    </xf>
    <xf numFmtId="0" fontId="7" fillId="0" borderId="19" xfId="0" applyFont="1" applyFill="1" applyBorder="1" applyProtection="1"/>
    <xf numFmtId="0" fontId="7" fillId="0" borderId="14" xfId="0" applyFont="1" applyFill="1" applyBorder="1" applyProtection="1"/>
    <xf numFmtId="10" fontId="54" fillId="0" borderId="39" xfId="0" applyNumberFormat="1" applyFont="1" applyFill="1" applyBorder="1" applyProtection="1"/>
    <xf numFmtId="169" fontId="54" fillId="0" borderId="39" xfId="87" applyNumberFormat="1" applyFont="1" applyFill="1" applyBorder="1" applyProtection="1"/>
    <xf numFmtId="0" fontId="7" fillId="0" borderId="49" xfId="0" applyFont="1" applyFill="1" applyBorder="1" applyProtection="1"/>
    <xf numFmtId="166" fontId="54" fillId="0" borderId="39" xfId="0" applyNumberFormat="1" applyFont="1" applyFill="1" applyBorder="1" applyProtection="1"/>
    <xf numFmtId="0" fontId="7" fillId="0" borderId="47" xfId="0" applyFont="1" applyFill="1" applyBorder="1" applyProtection="1"/>
    <xf numFmtId="41" fontId="54" fillId="0" borderId="13" xfId="0" applyNumberFormat="1" applyFont="1" applyFill="1" applyBorder="1" applyProtection="1"/>
    <xf numFmtId="3" fontId="7" fillId="0" borderId="43" xfId="0" applyNumberFormat="1" applyFont="1" applyFill="1" applyBorder="1" applyProtection="1"/>
    <xf numFmtId="0" fontId="7" fillId="0" borderId="20" xfId="0" applyFont="1" applyFill="1" applyBorder="1" applyProtection="1"/>
    <xf numFmtId="169" fontId="54" fillId="0" borderId="44" xfId="0" applyNumberFormat="1" applyFont="1" applyFill="1" applyBorder="1" applyProtection="1"/>
    <xf numFmtId="169" fontId="54" fillId="0" borderId="46" xfId="0" applyNumberFormat="1" applyFont="1" applyFill="1" applyBorder="1" applyProtection="1"/>
    <xf numFmtId="0" fontId="7" fillId="0" borderId="16" xfId="0" applyFont="1" applyFill="1" applyBorder="1" applyProtection="1"/>
    <xf numFmtId="169" fontId="54" fillId="0" borderId="25" xfId="86" applyNumberFormat="1" applyFont="1" applyBorder="1" applyProtection="1"/>
    <xf numFmtId="169" fontId="54" fillId="0" borderId="26" xfId="86" applyNumberFormat="1" applyFont="1" applyBorder="1" applyProtection="1"/>
    <xf numFmtId="0" fontId="50" fillId="0" borderId="0" xfId="0" quotePrefix="1" applyFont="1" applyAlignment="1" applyProtection="1">
      <alignment horizontal="left"/>
    </xf>
    <xf numFmtId="0" fontId="46" fillId="0" borderId="0" xfId="0" applyFont="1" applyAlignment="1" applyProtection="1">
      <alignment horizontal="right"/>
    </xf>
    <xf numFmtId="0" fontId="67" fillId="0" borderId="0" xfId="0" applyFont="1" applyFill="1" applyAlignment="1" applyProtection="1">
      <alignment horizontal="right"/>
    </xf>
    <xf numFmtId="0" fontId="50" fillId="0" borderId="0" xfId="0" applyFont="1" applyProtection="1"/>
    <xf numFmtId="0" fontId="46" fillId="0" borderId="0" xfId="0" quotePrefix="1" applyFont="1" applyAlignment="1" applyProtection="1">
      <alignment horizontal="right"/>
    </xf>
    <xf numFmtId="0" fontId="68" fillId="0" borderId="0" xfId="0" quotePrefix="1" applyFont="1" applyAlignment="1" applyProtection="1">
      <alignment horizontal="left"/>
    </xf>
    <xf numFmtId="0" fontId="39" fillId="0" borderId="0" xfId="0" applyFont="1" applyAlignment="1" applyProtection="1">
      <alignment horizontal="left"/>
    </xf>
    <xf numFmtId="0" fontId="51" fillId="26" borderId="0" xfId="86" applyNumberFormat="1" applyFont="1" applyFill="1" applyAlignment="1" applyProtection="1">
      <alignment horizontal="left"/>
    </xf>
    <xf numFmtId="0" fontId="39" fillId="0" borderId="17" xfId="0" applyFont="1" applyBorder="1" applyProtection="1"/>
    <xf numFmtId="0" fontId="39" fillId="0" borderId="18" xfId="0" applyFont="1" applyBorder="1" applyProtection="1"/>
    <xf numFmtId="0" fontId="7" fillId="0" borderId="18" xfId="0" applyFont="1" applyBorder="1" applyProtection="1"/>
    <xf numFmtId="169" fontId="39" fillId="0" borderId="19" xfId="86" applyNumberFormat="1" applyFont="1" applyBorder="1" applyProtection="1"/>
    <xf numFmtId="0" fontId="14" fillId="0" borderId="0" xfId="86" applyNumberFormat="1" applyFont="1" applyFill="1" applyAlignment="1" applyProtection="1">
      <alignment horizontal="left"/>
    </xf>
    <xf numFmtId="0" fontId="14" fillId="0" borderId="0" xfId="86" applyNumberFormat="1" applyFont="1" applyFill="1" applyBorder="1" applyAlignment="1" applyProtection="1">
      <alignment horizontal="left"/>
    </xf>
    <xf numFmtId="0" fontId="39" fillId="0" borderId="13" xfId="0" applyFont="1" applyBorder="1" applyProtection="1"/>
    <xf numFmtId="0" fontId="9" fillId="0" borderId="0" xfId="86" applyNumberFormat="1" applyFont="1" applyFill="1" applyBorder="1" applyAlignment="1" applyProtection="1">
      <alignment horizontal="left"/>
    </xf>
    <xf numFmtId="169" fontId="39" fillId="0" borderId="20" xfId="86" applyNumberFormat="1" applyFont="1" applyBorder="1" applyProtection="1"/>
    <xf numFmtId="0" fontId="39" fillId="0" borderId="0" xfId="0" applyFont="1" applyFill="1" applyProtection="1"/>
    <xf numFmtId="0" fontId="52" fillId="0" borderId="0" xfId="0" applyFont="1" applyFill="1" applyAlignment="1" applyProtection="1">
      <alignment horizontal="left"/>
    </xf>
    <xf numFmtId="169" fontId="39" fillId="0" borderId="15" xfId="86" applyNumberFormat="1" applyFont="1" applyBorder="1" applyProtection="1"/>
    <xf numFmtId="169" fontId="7" fillId="0" borderId="6" xfId="86" applyNumberFormat="1" applyFont="1" applyBorder="1" applyProtection="1"/>
    <xf numFmtId="169" fontId="7" fillId="0" borderId="16" xfId="86" applyNumberFormat="1" applyFont="1" applyBorder="1" applyProtection="1"/>
    <xf numFmtId="0" fontId="53" fillId="0" borderId="0" xfId="0" applyFont="1" applyFill="1" applyAlignment="1" applyProtection="1"/>
    <xf numFmtId="0" fontId="55" fillId="0" borderId="0" xfId="0" applyFont="1" applyFill="1" applyAlignment="1" applyProtection="1"/>
    <xf numFmtId="0" fontId="7" fillId="0" borderId="0" xfId="0" applyFont="1" applyFill="1" applyAlignment="1" applyProtection="1">
      <alignment wrapText="1"/>
    </xf>
    <xf numFmtId="0" fontId="7" fillId="0" borderId="0" xfId="0" applyFont="1" applyFill="1" applyBorder="1" applyAlignment="1" applyProtection="1">
      <alignment wrapText="1"/>
    </xf>
    <xf numFmtId="0" fontId="39" fillId="0" borderId="21" xfId="0" applyFont="1" applyFill="1" applyBorder="1" applyAlignment="1" applyProtection="1">
      <alignment horizontal="center"/>
    </xf>
    <xf numFmtId="0" fontId="61" fillId="27" borderId="22" xfId="0" applyFont="1" applyFill="1" applyBorder="1" applyAlignment="1" applyProtection="1">
      <alignment horizontal="center"/>
    </xf>
    <xf numFmtId="0" fontId="39" fillId="0" borderId="22" xfId="0" applyFont="1" applyFill="1" applyBorder="1" applyAlignment="1" applyProtection="1">
      <alignment horizontal="center"/>
    </xf>
    <xf numFmtId="0" fontId="39" fillId="0" borderId="23" xfId="0" applyFont="1" applyFill="1" applyBorder="1" applyAlignment="1" applyProtection="1">
      <alignment horizontal="center"/>
    </xf>
    <xf numFmtId="0" fontId="39" fillId="0" borderId="0" xfId="0" applyFont="1" applyFill="1" applyBorder="1" applyAlignment="1" applyProtection="1">
      <alignment horizontal="center"/>
    </xf>
    <xf numFmtId="0" fontId="0" fillId="0" borderId="0" xfId="0" applyBorder="1" applyAlignment="1" applyProtection="1"/>
    <xf numFmtId="0" fontId="7" fillId="0" borderId="13" xfId="0" applyFont="1" applyFill="1" applyBorder="1" applyAlignment="1" applyProtection="1"/>
    <xf numFmtId="169" fontId="54" fillId="26" borderId="14" xfId="86" applyNumberFormat="1" applyFont="1" applyFill="1" applyBorder="1" applyAlignment="1" applyProtection="1">
      <alignment horizontal="right"/>
    </xf>
    <xf numFmtId="0" fontId="39" fillId="0" borderId="19" xfId="0" applyFont="1" applyFill="1" applyBorder="1" applyAlignment="1" applyProtection="1">
      <alignment horizontal="center"/>
    </xf>
    <xf numFmtId="0" fontId="7" fillId="0" borderId="13" xfId="0" applyFont="1" applyFill="1" applyBorder="1" applyProtection="1"/>
    <xf numFmtId="0" fontId="54" fillId="26" borderId="14" xfId="0" applyFont="1" applyFill="1" applyBorder="1" applyAlignment="1" applyProtection="1">
      <alignment horizontal="right"/>
    </xf>
    <xf numFmtId="169" fontId="7" fillId="0" borderId="14" xfId="0" applyNumberFormat="1" applyFont="1" applyFill="1" applyBorder="1" applyAlignment="1" applyProtection="1">
      <alignment horizontal="right"/>
    </xf>
    <xf numFmtId="169" fontId="7" fillId="0" borderId="0" xfId="0" applyNumberFormat="1" applyFont="1" applyFill="1" applyBorder="1" applyAlignment="1" applyProtection="1">
      <alignment horizontal="right"/>
    </xf>
    <xf numFmtId="10" fontId="7" fillId="0" borderId="14" xfId="0" applyNumberFormat="1" applyFont="1" applyBorder="1" applyProtection="1"/>
    <xf numFmtId="169" fontId="7" fillId="0" borderId="14" xfId="86" applyNumberFormat="1" applyFont="1" applyBorder="1" applyProtection="1"/>
    <xf numFmtId="0" fontId="39" fillId="0" borderId="24" xfId="0" applyFont="1" applyBorder="1" applyAlignment="1" applyProtection="1">
      <alignment horizontal="center"/>
    </xf>
    <xf numFmtId="169" fontId="39" fillId="0" borderId="24" xfId="86" quotePrefix="1" applyNumberFormat="1" applyFont="1" applyBorder="1" applyAlignment="1" applyProtection="1">
      <alignment horizontal="center" wrapText="1"/>
    </xf>
    <xf numFmtId="169" fontId="39" fillId="0" borderId="24" xfId="86" applyNumberFormat="1" applyFont="1" applyBorder="1" applyAlignment="1" applyProtection="1">
      <alignment horizontal="center"/>
    </xf>
    <xf numFmtId="169" fontId="39" fillId="0" borderId="19" xfId="86" applyNumberFormat="1" applyFont="1" applyFill="1" applyBorder="1" applyAlignment="1" applyProtection="1">
      <alignment horizontal="center" wrapText="1"/>
    </xf>
    <xf numFmtId="169" fontId="39" fillId="0" borderId="19" xfId="86" applyNumberFormat="1" applyFont="1" applyBorder="1" applyAlignment="1" applyProtection="1">
      <alignment horizontal="center" wrapText="1"/>
    </xf>
    <xf numFmtId="0" fontId="39" fillId="0" borderId="25" xfId="0" applyFont="1" applyBorder="1" applyAlignment="1" applyProtection="1">
      <alignment horizontal="center"/>
    </xf>
    <xf numFmtId="169" fontId="39" fillId="0" borderId="24" xfId="86" applyNumberFormat="1" applyFont="1" applyFill="1" applyBorder="1" applyAlignment="1" applyProtection="1">
      <alignment horizontal="center" wrapText="1"/>
    </xf>
    <xf numFmtId="169" fontId="39" fillId="0" borderId="24" xfId="86" applyNumberFormat="1" applyFont="1" applyBorder="1" applyAlignment="1" applyProtection="1">
      <alignment horizontal="center" wrapText="1"/>
    </xf>
    <xf numFmtId="0" fontId="39" fillId="0" borderId="26" xfId="0" applyFont="1" applyBorder="1" applyAlignment="1" applyProtection="1">
      <alignment horizontal="center"/>
    </xf>
    <xf numFmtId="0" fontId="39" fillId="0" borderId="26" xfId="0" applyFont="1" applyBorder="1" applyAlignment="1" applyProtection="1">
      <alignment horizontal="center" wrapText="1"/>
    </xf>
    <xf numFmtId="169" fontId="39" fillId="0" borderId="16" xfId="86" applyNumberFormat="1" applyFont="1" applyFill="1" applyBorder="1" applyAlignment="1" applyProtection="1">
      <alignment horizontal="center"/>
    </xf>
    <xf numFmtId="169" fontId="39" fillId="0" borderId="16" xfId="86" applyNumberFormat="1" applyFont="1" applyBorder="1" applyAlignment="1" applyProtection="1">
      <alignment horizontal="center"/>
    </xf>
    <xf numFmtId="0" fontId="39" fillId="0" borderId="26" xfId="0" applyFont="1" applyFill="1" applyBorder="1" applyAlignment="1" applyProtection="1">
      <alignment horizontal="center"/>
    </xf>
    <xf numFmtId="0" fontId="39" fillId="0" borderId="25" xfId="0" applyFont="1" applyFill="1" applyBorder="1" applyAlignment="1" applyProtection="1">
      <alignment horizontal="center"/>
    </xf>
    <xf numFmtId="169" fontId="39" fillId="0" borderId="26" xfId="86" applyNumberFormat="1" applyFont="1" applyBorder="1" applyAlignment="1" applyProtection="1">
      <alignment horizontal="center"/>
    </xf>
    <xf numFmtId="169" fontId="39" fillId="0" borderId="26" xfId="86" applyNumberFormat="1" applyFont="1" applyFill="1" applyBorder="1" applyAlignment="1" applyProtection="1">
      <alignment horizontal="center"/>
    </xf>
    <xf numFmtId="169" fontId="39" fillId="0" borderId="15" xfId="86" applyNumberFormat="1" applyFont="1" applyFill="1" applyBorder="1" applyAlignment="1" applyProtection="1">
      <alignment horizontal="center"/>
    </xf>
    <xf numFmtId="0" fontId="7" fillId="0" borderId="25" xfId="0" applyNumberFormat="1" applyFont="1" applyBorder="1" applyAlignment="1" applyProtection="1">
      <alignment horizontal="center"/>
    </xf>
    <xf numFmtId="169" fontId="78" fillId="26" borderId="0" xfId="0" applyNumberFormat="1" applyFont="1" applyFill="1" applyBorder="1" applyProtection="1"/>
    <xf numFmtId="169" fontId="78" fillId="26" borderId="24" xfId="86" applyNumberFormat="1" applyFont="1" applyFill="1" applyBorder="1" applyProtection="1"/>
    <xf numFmtId="169" fontId="78" fillId="26" borderId="25" xfId="86" applyNumberFormat="1" applyFont="1" applyFill="1" applyBorder="1" applyProtection="1"/>
    <xf numFmtId="169" fontId="78" fillId="26" borderId="14" xfId="86" applyNumberFormat="1" applyFont="1" applyFill="1" applyBorder="1" applyProtection="1"/>
    <xf numFmtId="170" fontId="7" fillId="0" borderId="14" xfId="0" applyNumberFormat="1" applyFont="1" applyBorder="1" applyProtection="1"/>
    <xf numFmtId="170" fontId="54" fillId="0" borderId="24" xfId="0" applyNumberFormat="1" applyFont="1" applyFill="1" applyBorder="1" applyProtection="1"/>
    <xf numFmtId="170" fontId="7" fillId="0" borderId="24" xfId="0" applyNumberFormat="1" applyFont="1" applyFill="1" applyBorder="1" applyProtection="1"/>
    <xf numFmtId="170" fontId="7" fillId="0" borderId="24" xfId="0" applyNumberFormat="1" applyFont="1" applyBorder="1" applyProtection="1"/>
    <xf numFmtId="170" fontId="7" fillId="0" borderId="25" xfId="0" applyNumberFormat="1" applyFont="1" applyBorder="1" applyProtection="1"/>
    <xf numFmtId="169" fontId="78" fillId="26" borderId="25" xfId="0" applyNumberFormat="1" applyFont="1" applyFill="1" applyBorder="1" applyProtection="1"/>
    <xf numFmtId="170" fontId="54" fillId="0" borderId="25" xfId="0" applyNumberFormat="1" applyFont="1" applyFill="1" applyBorder="1" applyProtection="1"/>
    <xf numFmtId="170" fontId="7" fillId="0" borderId="25" xfId="0" applyNumberFormat="1" applyFont="1" applyFill="1" applyBorder="1" applyProtection="1"/>
    <xf numFmtId="169" fontId="7" fillId="0" borderId="25" xfId="0" applyNumberFormat="1" applyFont="1" applyFill="1" applyBorder="1" applyProtection="1"/>
    <xf numFmtId="169" fontId="1" fillId="0" borderId="25" xfId="86" applyNumberFormat="1" applyBorder="1" applyProtection="1"/>
    <xf numFmtId="169" fontId="7" fillId="0" borderId="25" xfId="0" applyNumberFormat="1" applyFont="1" applyBorder="1" applyProtection="1"/>
    <xf numFmtId="169" fontId="7" fillId="0" borderId="25" xfId="86" applyNumberFormat="1" applyFont="1" applyBorder="1" applyProtection="1"/>
    <xf numFmtId="170" fontId="54" fillId="26" borderId="25" xfId="0" applyNumberFormat="1" applyFont="1" applyFill="1" applyBorder="1" applyProtection="1"/>
    <xf numFmtId="0" fontId="7" fillId="0" borderId="42" xfId="0" applyNumberFormat="1" applyFont="1" applyBorder="1" applyAlignment="1" applyProtection="1">
      <alignment horizontal="center"/>
    </xf>
    <xf numFmtId="169" fontId="7" fillId="0" borderId="42" xfId="0" applyNumberFormat="1" applyFont="1" applyFill="1" applyBorder="1" applyProtection="1"/>
    <xf numFmtId="169" fontId="1" fillId="0" borderId="42" xfId="86" applyNumberFormat="1" applyBorder="1" applyProtection="1"/>
    <xf numFmtId="169" fontId="7" fillId="0" borderId="42" xfId="0" applyNumberFormat="1" applyFont="1" applyBorder="1" applyProtection="1"/>
    <xf numFmtId="169" fontId="7" fillId="0" borderId="42" xfId="86" applyNumberFormat="1" applyFont="1" applyBorder="1" applyProtection="1"/>
    <xf numFmtId="169" fontId="7" fillId="0" borderId="43" xfId="86" applyNumberFormat="1" applyFont="1" applyBorder="1" applyProtection="1"/>
    <xf numFmtId="170" fontId="7" fillId="0" borderId="43" xfId="0" applyNumberFormat="1" applyFont="1" applyBorder="1" applyProtection="1"/>
    <xf numFmtId="170" fontId="54" fillId="26" borderId="42" xfId="0" applyNumberFormat="1" applyFont="1" applyFill="1" applyBorder="1" applyProtection="1"/>
    <xf numFmtId="170" fontId="7" fillId="0" borderId="42" xfId="0" applyNumberFormat="1" applyFont="1" applyBorder="1" applyProtection="1"/>
    <xf numFmtId="0" fontId="7" fillId="0" borderId="2" xfId="0" applyFont="1" applyBorder="1" applyProtection="1"/>
    <xf numFmtId="169" fontId="7" fillId="0" borderId="25" xfId="86" applyNumberFormat="1" applyFont="1" applyFill="1" applyBorder="1" applyProtection="1"/>
    <xf numFmtId="0" fontId="7" fillId="0" borderId="26" xfId="0" applyNumberFormat="1" applyFont="1" applyBorder="1" applyAlignment="1" applyProtection="1">
      <alignment horizontal="center"/>
    </xf>
    <xf numFmtId="169" fontId="7" fillId="0" borderId="26" xfId="0" applyNumberFormat="1" applyFont="1" applyFill="1" applyBorder="1" applyProtection="1"/>
    <xf numFmtId="169" fontId="1" fillId="0" borderId="26" xfId="86" applyNumberFormat="1" applyBorder="1" applyProtection="1"/>
    <xf numFmtId="169" fontId="7" fillId="0" borderId="26" xfId="0" applyNumberFormat="1" applyFont="1" applyBorder="1" applyProtection="1"/>
    <xf numFmtId="169" fontId="7" fillId="0" borderId="26" xfId="86" applyNumberFormat="1" applyFont="1" applyFill="1" applyBorder="1" applyProtection="1"/>
    <xf numFmtId="170" fontId="7" fillId="0" borderId="16" xfId="0" applyNumberFormat="1" applyFont="1" applyBorder="1" applyProtection="1"/>
    <xf numFmtId="170" fontId="54" fillId="26" borderId="26" xfId="0" applyNumberFormat="1" applyFont="1" applyFill="1" applyBorder="1" applyProtection="1"/>
    <xf numFmtId="170" fontId="7" fillId="0" borderId="26" xfId="0" applyNumberFormat="1" applyFont="1" applyBorder="1" applyProtection="1"/>
    <xf numFmtId="0" fontId="53" fillId="0" borderId="0" xfId="0" applyFont="1" applyFill="1" applyProtection="1"/>
    <xf numFmtId="0" fontId="46" fillId="0" borderId="0" xfId="0" applyFont="1" applyFill="1" applyAlignment="1" applyProtection="1">
      <alignment horizontal="right"/>
    </xf>
    <xf numFmtId="0" fontId="69" fillId="0" borderId="0" xfId="0" applyFont="1" applyProtection="1"/>
    <xf numFmtId="0" fontId="7" fillId="0" borderId="0" xfId="0" applyFont="1" applyAlignment="1" applyProtection="1">
      <alignment horizontal="left"/>
    </xf>
    <xf numFmtId="0" fontId="46" fillId="0" borderId="0" xfId="0" quotePrefix="1" applyFont="1" applyAlignment="1" applyProtection="1">
      <alignment horizontal="center"/>
    </xf>
    <xf numFmtId="0" fontId="9" fillId="0" borderId="0" xfId="0" applyFont="1" applyFill="1" applyProtection="1"/>
    <xf numFmtId="0" fontId="39" fillId="0" borderId="28" xfId="0" applyFont="1" applyFill="1" applyBorder="1" applyAlignment="1" applyProtection="1">
      <alignment horizontal="center"/>
    </xf>
    <xf numFmtId="168" fontId="7" fillId="0" borderId="29" xfId="191" applyFont="1" applyBorder="1" applyAlignment="1" applyProtection="1">
      <alignment horizontal="center"/>
    </xf>
    <xf numFmtId="168" fontId="7" fillId="0" borderId="29" xfId="191" quotePrefix="1" applyFont="1" applyBorder="1" applyAlignment="1" applyProtection="1">
      <alignment horizontal="center"/>
    </xf>
    <xf numFmtId="3" fontId="7" fillId="0" borderId="30" xfId="191" applyNumberFormat="1" applyFont="1" applyBorder="1" applyAlignment="1" applyProtection="1">
      <alignment horizontal="center"/>
    </xf>
    <xf numFmtId="0" fontId="55" fillId="0" borderId="24" xfId="0" applyFont="1" applyBorder="1" applyProtection="1"/>
    <xf numFmtId="169" fontId="7" fillId="0" borderId="13" xfId="86" quotePrefix="1" applyNumberFormat="1" applyFont="1" applyBorder="1" applyAlignment="1" applyProtection="1">
      <alignment horizontal="right"/>
    </xf>
    <xf numFmtId="169" fontId="39" fillId="0" borderId="0" xfId="86" applyNumberFormat="1" applyFont="1" applyBorder="1" applyProtection="1"/>
    <xf numFmtId="169" fontId="7" fillId="0" borderId="14" xfId="0" applyNumberFormat="1" applyFont="1" applyBorder="1" applyProtection="1"/>
    <xf numFmtId="0" fontId="57" fillId="0" borderId="31" xfId="86" applyNumberFormat="1" applyFont="1" applyFill="1" applyBorder="1" applyAlignment="1" applyProtection="1">
      <alignment horizontal="left"/>
    </xf>
    <xf numFmtId="169" fontId="7" fillId="0" borderId="32" xfId="86" quotePrefix="1" applyNumberFormat="1" applyFont="1" applyBorder="1" applyAlignment="1" applyProtection="1">
      <alignment horizontal="right"/>
    </xf>
    <xf numFmtId="169" fontId="39" fillId="0" borderId="11" xfId="86" applyNumberFormat="1" applyFont="1" applyBorder="1" applyProtection="1"/>
    <xf numFmtId="169" fontId="7" fillId="0" borderId="20" xfId="0" applyNumberFormat="1" applyFont="1" applyBorder="1" applyProtection="1"/>
    <xf numFmtId="0" fontId="52" fillId="0" borderId="0" xfId="0" applyFont="1" applyAlignment="1" applyProtection="1">
      <alignment horizontal="left"/>
    </xf>
    <xf numFmtId="169" fontId="55" fillId="0" borderId="26" xfId="86" applyNumberFormat="1" applyFont="1" applyBorder="1" applyProtection="1"/>
    <xf numFmtId="0" fontId="7" fillId="0" borderId="15" xfId="0" quotePrefix="1" applyFont="1" applyBorder="1" applyAlignment="1" applyProtection="1">
      <alignment horizontal="right"/>
    </xf>
    <xf numFmtId="169" fontId="39" fillId="0" borderId="6" xfId="86" applyNumberFormat="1" applyFont="1" applyFill="1" applyBorder="1" applyAlignment="1" applyProtection="1">
      <alignment horizontal="left"/>
    </xf>
    <xf numFmtId="169" fontId="39" fillId="0" borderId="16" xfId="86" applyNumberFormat="1" applyFont="1" applyFill="1" applyBorder="1" applyAlignment="1" applyProtection="1">
      <alignment horizontal="left"/>
    </xf>
    <xf numFmtId="169" fontId="55" fillId="0" borderId="0" xfId="0" applyNumberFormat="1" applyFont="1" applyAlignment="1" applyProtection="1">
      <alignment horizontal="left"/>
    </xf>
    <xf numFmtId="0" fontId="7" fillId="0" borderId="21" xfId="0" applyFont="1" applyFill="1" applyBorder="1" applyAlignment="1" applyProtection="1">
      <alignment horizontal="center"/>
    </xf>
    <xf numFmtId="0" fontId="39" fillId="0" borderId="22" xfId="0" applyFont="1" applyFill="1" applyBorder="1" applyAlignment="1" applyProtection="1"/>
    <xf numFmtId="0" fontId="0" fillId="0" borderId="22" xfId="0" applyBorder="1" applyAlignment="1" applyProtection="1"/>
    <xf numFmtId="0" fontId="0" fillId="0" borderId="23" xfId="0" applyBorder="1" applyAlignment="1" applyProtection="1"/>
    <xf numFmtId="0" fontId="0" fillId="0" borderId="0" xfId="0" applyFill="1" applyBorder="1" applyAlignment="1" applyProtection="1"/>
    <xf numFmtId="0" fontId="7" fillId="0" borderId="14" xfId="0" applyFont="1" applyFill="1" applyBorder="1" applyAlignment="1" applyProtection="1">
      <alignment horizontal="right"/>
    </xf>
    <xf numFmtId="0" fontId="7" fillId="0" borderId="16" xfId="0" applyFont="1" applyFill="1" applyBorder="1" applyAlignment="1" applyProtection="1">
      <alignment horizontal="right"/>
    </xf>
    <xf numFmtId="0" fontId="7" fillId="0" borderId="15" xfId="0" applyFont="1" applyBorder="1" applyProtection="1"/>
    <xf numFmtId="0" fontId="7" fillId="0" borderId="6" xfId="0" applyFont="1" applyBorder="1" applyAlignment="1" applyProtection="1">
      <alignment horizontal="center"/>
    </xf>
    <xf numFmtId="0" fontId="0" fillId="0" borderId="6" xfId="0" applyBorder="1" applyProtection="1"/>
    <xf numFmtId="0" fontId="39" fillId="0" borderId="24" xfId="0" applyFont="1" applyBorder="1" applyAlignment="1" applyProtection="1">
      <alignment horizontal="center" wrapText="1"/>
    </xf>
    <xf numFmtId="169" fontId="39" fillId="0" borderId="0" xfId="86" quotePrefix="1" applyNumberFormat="1" applyFont="1" applyBorder="1" applyAlignment="1" applyProtection="1">
      <alignment horizontal="center" wrapText="1"/>
    </xf>
    <xf numFmtId="0" fontId="39" fillId="0" borderId="25" xfId="0" applyFont="1" applyBorder="1" applyAlignment="1" applyProtection="1">
      <alignment horizontal="center" wrapText="1"/>
    </xf>
    <xf numFmtId="0" fontId="39" fillId="0" borderId="6" xfId="0" applyFont="1" applyBorder="1" applyAlignment="1" applyProtection="1">
      <alignment horizontal="center"/>
    </xf>
    <xf numFmtId="169" fontId="39" fillId="26" borderId="26" xfId="86" applyNumberFormat="1" applyFont="1" applyFill="1" applyBorder="1" applyAlignment="1" applyProtection="1">
      <alignment horizontal="center"/>
    </xf>
    <xf numFmtId="169" fontId="78" fillId="26" borderId="24" xfId="0" applyNumberFormat="1" applyFont="1" applyFill="1" applyBorder="1" applyProtection="1"/>
    <xf numFmtId="169" fontId="7" fillId="0" borderId="14" xfId="86" applyNumberFormat="1" applyFont="1" applyFill="1" applyBorder="1" applyProtection="1"/>
    <xf numFmtId="169" fontId="7" fillId="0" borderId="16" xfId="86" applyNumberFormat="1" applyFont="1" applyFill="1" applyBorder="1" applyProtection="1"/>
    <xf numFmtId="0" fontId="55" fillId="0" borderId="0" xfId="0" applyFont="1" applyProtection="1"/>
    <xf numFmtId="0" fontId="58" fillId="0" borderId="0" xfId="0" applyFont="1" applyFill="1" applyProtection="1"/>
    <xf numFmtId="0" fontId="46" fillId="0" borderId="0" xfId="0" applyFont="1" applyAlignment="1" applyProtection="1">
      <alignment horizontal="center"/>
    </xf>
    <xf numFmtId="0" fontId="68" fillId="0" borderId="0" xfId="0" applyFont="1" applyProtection="1"/>
    <xf numFmtId="169" fontId="7" fillId="0" borderId="0" xfId="0" applyNumberFormat="1" applyFont="1" applyFill="1" applyBorder="1" applyProtection="1"/>
    <xf numFmtId="169" fontId="39" fillId="26" borderId="16" xfId="86" applyNumberFormat="1" applyFont="1" applyFill="1" applyBorder="1" applyAlignment="1" applyProtection="1">
      <alignment horizontal="center"/>
    </xf>
    <xf numFmtId="0" fontId="7" fillId="0" borderId="25" xfId="0" applyNumberFormat="1" applyFont="1" applyFill="1" applyBorder="1" applyAlignment="1" applyProtection="1">
      <alignment horizontal="center"/>
    </xf>
    <xf numFmtId="169" fontId="7" fillId="0" borderId="13" xfId="0" applyNumberFormat="1" applyFont="1" applyFill="1" applyBorder="1" applyProtection="1"/>
    <xf numFmtId="169" fontId="7" fillId="0" borderId="14" xfId="86" applyNumberFormat="1" applyFont="1" applyFill="1" applyBorder="1" applyAlignment="1" applyProtection="1">
      <alignment horizontal="right"/>
    </xf>
    <xf numFmtId="170" fontId="46" fillId="0" borderId="0" xfId="0" quotePrefix="1" applyNumberFormat="1" applyFont="1" applyBorder="1" applyAlignment="1" applyProtection="1">
      <alignment horizontal="center"/>
    </xf>
    <xf numFmtId="170" fontId="7" fillId="0" borderId="14" xfId="0" applyNumberFormat="1" applyFont="1" applyFill="1" applyBorder="1" applyProtection="1"/>
    <xf numFmtId="170" fontId="7" fillId="0" borderId="0" xfId="0" applyNumberFormat="1" applyFont="1" applyFill="1" applyBorder="1" applyProtection="1"/>
    <xf numFmtId="170" fontId="7" fillId="0" borderId="19" xfId="0" applyNumberFormat="1" applyFont="1" applyBorder="1" applyProtection="1"/>
    <xf numFmtId="170" fontId="54" fillId="0" borderId="17" xfId="0" applyNumberFormat="1" applyFont="1" applyFill="1" applyBorder="1" applyProtection="1"/>
    <xf numFmtId="170" fontId="7" fillId="0" borderId="13" xfId="0" applyNumberFormat="1" applyFont="1" applyBorder="1" applyProtection="1"/>
    <xf numFmtId="170" fontId="54" fillId="0" borderId="13" xfId="0" applyNumberFormat="1" applyFont="1" applyFill="1" applyBorder="1" applyProtection="1"/>
    <xf numFmtId="0" fontId="81" fillId="0" borderId="0" xfId="191" applyNumberFormat="1" applyFont="1" applyFill="1" applyBorder="1" applyAlignment="1" applyProtection="1"/>
    <xf numFmtId="0" fontId="82" fillId="0" borderId="0" xfId="0" applyFont="1" applyAlignment="1" applyProtection="1">
      <alignment horizontal="left"/>
    </xf>
    <xf numFmtId="170" fontId="54" fillId="0" borderId="34" xfId="0" applyNumberFormat="1" applyFont="1" applyFill="1" applyBorder="1" applyProtection="1"/>
    <xf numFmtId="170" fontId="7" fillId="0" borderId="40" xfId="0" applyNumberFormat="1" applyFont="1" applyFill="1" applyBorder="1" applyProtection="1"/>
    <xf numFmtId="170" fontId="7" fillId="0" borderId="34" xfId="0" applyNumberFormat="1" applyFont="1" applyBorder="1" applyProtection="1"/>
    <xf numFmtId="170" fontId="7" fillId="0" borderId="40" xfId="0" applyNumberFormat="1" applyFont="1" applyBorder="1" applyProtection="1"/>
    <xf numFmtId="170" fontId="7" fillId="0" borderId="10" xfId="0" applyNumberFormat="1" applyFont="1" applyBorder="1" applyProtection="1"/>
    <xf numFmtId="169" fontId="1" fillId="0" borderId="0" xfId="86" applyNumberFormat="1" applyBorder="1" applyProtection="1"/>
    <xf numFmtId="169" fontId="78" fillId="26" borderId="14" xfId="86" applyNumberFormat="1" applyFont="1" applyFill="1" applyBorder="1" applyAlignment="1" applyProtection="1">
      <alignment horizontal="right"/>
    </xf>
    <xf numFmtId="169" fontId="39" fillId="0" borderId="31" xfId="86" applyNumberFormat="1" applyFont="1" applyBorder="1" applyAlignment="1" applyProtection="1">
      <alignment horizontal="center"/>
    </xf>
    <xf numFmtId="170" fontId="54" fillId="0" borderId="33" xfId="0" applyNumberFormat="1" applyFont="1" applyFill="1" applyBorder="1" applyProtection="1"/>
    <xf numFmtId="170" fontId="54" fillId="0" borderId="42" xfId="0" applyNumberFormat="1" applyFont="1" applyFill="1" applyBorder="1" applyProtection="1"/>
    <xf numFmtId="170" fontId="7" fillId="0" borderId="2" xfId="0" applyNumberFormat="1" applyFont="1" applyBorder="1" applyProtection="1"/>
    <xf numFmtId="170" fontId="7" fillId="0" borderId="33" xfId="0" applyNumberFormat="1" applyFont="1" applyBorder="1" applyProtection="1"/>
    <xf numFmtId="0" fontId="55" fillId="0" borderId="0" xfId="0" quotePrefix="1" applyFont="1" applyFill="1" applyAlignment="1" applyProtection="1">
      <alignment horizontal="left"/>
    </xf>
    <xf numFmtId="169" fontId="7" fillId="0" borderId="24" xfId="0" applyNumberFormat="1" applyFont="1" applyBorder="1" applyProtection="1"/>
    <xf numFmtId="170" fontId="54" fillId="26" borderId="24" xfId="0" applyNumberFormat="1" applyFont="1" applyFill="1" applyBorder="1" applyProtection="1"/>
    <xf numFmtId="170" fontId="7" fillId="0" borderId="17" xfId="0" applyNumberFormat="1" applyFont="1" applyFill="1" applyBorder="1" applyProtection="1"/>
    <xf numFmtId="170" fontId="54" fillId="0" borderId="18" xfId="0" applyNumberFormat="1" applyFont="1" applyFill="1" applyBorder="1" applyProtection="1"/>
    <xf numFmtId="170" fontId="7" fillId="0" borderId="13" xfId="0" applyNumberFormat="1" applyFont="1" applyFill="1" applyBorder="1" applyProtection="1"/>
    <xf numFmtId="170" fontId="54" fillId="0" borderId="0" xfId="0" applyNumberFormat="1" applyFont="1" applyFill="1" applyBorder="1" applyProtection="1"/>
    <xf numFmtId="169" fontId="7" fillId="0" borderId="26" xfId="86" applyNumberFormat="1" applyFont="1" applyBorder="1" applyProtection="1"/>
    <xf numFmtId="169" fontId="80" fillId="26" borderId="0" xfId="0" applyNumberFormat="1" applyFont="1" applyFill="1" applyBorder="1" applyProtection="1"/>
    <xf numFmtId="169" fontId="80" fillId="26" borderId="25" xfId="86" applyNumberFormat="1" applyFont="1" applyFill="1" applyBorder="1" applyProtection="1"/>
    <xf numFmtId="169" fontId="80" fillId="26" borderId="25" xfId="0" applyNumberFormat="1" applyFont="1" applyFill="1" applyBorder="1" applyProtection="1"/>
    <xf numFmtId="169" fontId="80" fillId="26" borderId="24" xfId="0" applyNumberFormat="1" applyFont="1" applyFill="1" applyBorder="1" applyProtection="1"/>
    <xf numFmtId="170" fontId="80" fillId="26" borderId="25" xfId="0" applyNumberFormat="1" applyFont="1" applyFill="1" applyBorder="1" applyProtection="1"/>
    <xf numFmtId="169" fontId="80" fillId="26" borderId="14" xfId="86" applyNumberFormat="1" applyFont="1" applyFill="1" applyBorder="1" applyProtection="1"/>
    <xf numFmtId="169" fontId="7" fillId="0" borderId="15" xfId="0" applyNumberFormat="1" applyFont="1" applyBorder="1" applyProtection="1"/>
    <xf numFmtId="0" fontId="55" fillId="0" borderId="0" xfId="0" quotePrefix="1" applyFont="1" applyAlignment="1" applyProtection="1">
      <alignment horizontal="left"/>
    </xf>
    <xf numFmtId="169" fontId="80" fillId="26" borderId="24" xfId="86" applyNumberFormat="1" applyFont="1" applyFill="1" applyBorder="1" applyProtection="1"/>
    <xf numFmtId="0" fontId="79" fillId="27" borderId="22" xfId="0" applyFont="1" applyFill="1" applyBorder="1" applyAlignment="1" applyProtection="1"/>
    <xf numFmtId="169" fontId="80" fillId="26" borderId="14" xfId="86" applyNumberFormat="1" applyFont="1" applyFill="1" applyBorder="1" applyAlignment="1" applyProtection="1">
      <alignment horizontal="right"/>
    </xf>
    <xf numFmtId="169" fontId="54" fillId="0" borderId="26" xfId="86" applyNumberFormat="1" applyFont="1" applyFill="1" applyBorder="1" applyProtection="1"/>
    <xf numFmtId="169" fontId="54" fillId="0" borderId="16" xfId="86" applyNumberFormat="1" applyFont="1" applyFill="1" applyBorder="1" applyProtection="1"/>
    <xf numFmtId="0" fontId="7" fillId="0" borderId="0" xfId="0" applyFont="1" applyFill="1" applyAlignment="1" applyProtection="1"/>
    <xf numFmtId="169" fontId="7" fillId="0" borderId="0" xfId="0" applyNumberFormat="1" applyFont="1" applyAlignment="1" applyProtection="1">
      <alignment horizontal="left"/>
    </xf>
    <xf numFmtId="169" fontId="54" fillId="0" borderId="25" xfId="86" applyNumberFormat="1" applyFont="1" applyFill="1" applyBorder="1" applyProtection="1"/>
    <xf numFmtId="169" fontId="54" fillId="0" borderId="14" xfId="86" applyNumberFormat="1" applyFont="1" applyFill="1" applyBorder="1" applyProtection="1"/>
    <xf numFmtId="169" fontId="7" fillId="0" borderId="25" xfId="87" applyNumberFormat="1" applyBorder="1" applyProtection="1"/>
    <xf numFmtId="169" fontId="7" fillId="0" borderId="25" xfId="87" applyNumberFormat="1" applyFont="1" applyFill="1" applyBorder="1" applyProtection="1"/>
    <xf numFmtId="169" fontId="7" fillId="0" borderId="14" xfId="87" applyNumberFormat="1" applyFont="1" applyFill="1" applyBorder="1" applyProtection="1"/>
    <xf numFmtId="169" fontId="7" fillId="0" borderId="26" xfId="87" applyNumberFormat="1" applyBorder="1" applyProtection="1"/>
    <xf numFmtId="169" fontId="7" fillId="0" borderId="26" xfId="87" applyNumberFormat="1" applyFont="1" applyFill="1" applyBorder="1" applyProtection="1"/>
    <xf numFmtId="169" fontId="7" fillId="0" borderId="16" xfId="87" applyNumberFormat="1" applyFont="1" applyFill="1" applyBorder="1" applyProtection="1"/>
    <xf numFmtId="170" fontId="78" fillId="0" borderId="14" xfId="0" applyNumberFormat="1" applyFont="1" applyFill="1" applyBorder="1" applyProtection="1"/>
    <xf numFmtId="0" fontId="81" fillId="0" borderId="0" xfId="0" applyFont="1" applyAlignment="1" applyProtection="1">
      <alignment horizontal="left"/>
    </xf>
    <xf numFmtId="0" fontId="52" fillId="26" borderId="0" xfId="0" applyFont="1" applyFill="1" applyAlignment="1" applyProtection="1">
      <alignment horizontal="left"/>
    </xf>
    <xf numFmtId="169" fontId="7" fillId="0" borderId="6" xfId="0" applyNumberFormat="1" applyFont="1" applyBorder="1" applyProtection="1"/>
    <xf numFmtId="0" fontId="78" fillId="26" borderId="14" xfId="86" applyNumberFormat="1" applyFont="1" applyFill="1" applyBorder="1" applyAlignment="1" applyProtection="1">
      <alignment horizontal="right"/>
    </xf>
    <xf numFmtId="0" fontId="54" fillId="26" borderId="20" xfId="0" applyFont="1" applyFill="1" applyBorder="1" applyAlignment="1" applyProtection="1">
      <alignment horizontal="right"/>
    </xf>
    <xf numFmtId="169" fontId="1" fillId="26" borderId="0" xfId="0" applyNumberFormat="1" applyFont="1" applyFill="1" applyBorder="1"/>
    <xf numFmtId="169" fontId="1" fillId="26" borderId="24" xfId="86" applyNumberFormat="1" applyFont="1" applyFill="1" applyBorder="1"/>
    <xf numFmtId="169" fontId="1" fillId="26" borderId="25" xfId="0" applyNumberFormat="1" applyFont="1" applyFill="1" applyBorder="1"/>
    <xf numFmtId="169" fontId="1" fillId="26" borderId="14" xfId="86" applyNumberFormat="1" applyFont="1" applyFill="1" applyBorder="1"/>
    <xf numFmtId="169" fontId="54" fillId="26" borderId="2" xfId="86" applyNumberFormat="1" applyFont="1" applyFill="1" applyBorder="1" applyAlignment="1" applyProtection="1">
      <alignment vertical="center"/>
    </xf>
    <xf numFmtId="169" fontId="101" fillId="0" borderId="0" xfId="86" applyNumberFormat="1" applyFont="1" applyFill="1" applyAlignment="1" applyProtection="1">
      <alignment vertical="center"/>
    </xf>
    <xf numFmtId="0" fontId="1" fillId="0" borderId="22" xfId="0" applyFont="1" applyFill="1" applyBorder="1" applyAlignment="1" applyProtection="1">
      <alignment horizontal="left"/>
    </xf>
    <xf numFmtId="169" fontId="1" fillId="0" borderId="0" xfId="0" applyNumberFormat="1" applyFont="1" applyBorder="1" applyProtection="1"/>
    <xf numFmtId="169" fontId="1" fillId="0" borderId="25" xfId="0" applyNumberFormat="1" applyFont="1" applyBorder="1" applyProtection="1"/>
    <xf numFmtId="169" fontId="1" fillId="0" borderId="25" xfId="86" applyNumberFormat="1" applyFont="1" applyBorder="1" applyProtection="1"/>
    <xf numFmtId="169" fontId="1" fillId="0" borderId="6" xfId="0" applyNumberFormat="1" applyFont="1" applyBorder="1" applyProtection="1"/>
    <xf numFmtId="169" fontId="1" fillId="0" borderId="26" xfId="0" applyNumberFormat="1" applyFont="1" applyBorder="1" applyProtection="1"/>
    <xf numFmtId="170" fontId="1" fillId="0" borderId="25" xfId="0" applyNumberFormat="1" applyFont="1" applyBorder="1" applyProtection="1"/>
    <xf numFmtId="169" fontId="7" fillId="0" borderId="14" xfId="86" applyNumberFormat="1" applyFont="1" applyFill="1" applyBorder="1" applyAlignment="1">
      <alignment horizontal="right"/>
    </xf>
    <xf numFmtId="0" fontId="39" fillId="0" borderId="11" xfId="0" applyFont="1" applyBorder="1" applyAlignment="1" applyProtection="1">
      <alignment horizontal="center"/>
    </xf>
    <xf numFmtId="0" fontId="65" fillId="0" borderId="0" xfId="0" applyFont="1" applyFill="1" applyBorder="1" applyAlignment="1" applyProtection="1">
      <alignment horizontal="center" wrapText="1"/>
    </xf>
    <xf numFmtId="0" fontId="0" fillId="0" borderId="0" xfId="0" applyAlignment="1" applyProtection="1">
      <alignment horizontal="left" vertical="top" wrapText="1"/>
    </xf>
    <xf numFmtId="168" fontId="7" fillId="0" borderId="17" xfId="191" applyFont="1" applyBorder="1" applyAlignment="1" applyProtection="1">
      <alignment wrapText="1"/>
    </xf>
    <xf numFmtId="0" fontId="7" fillId="0" borderId="18" xfId="0" applyFont="1" applyBorder="1" applyAlignment="1" applyProtection="1">
      <alignment wrapText="1"/>
    </xf>
    <xf numFmtId="0" fontId="7" fillId="0" borderId="19" xfId="0" applyFont="1" applyBorder="1" applyAlignment="1" applyProtection="1">
      <alignment wrapText="1"/>
    </xf>
    <xf numFmtId="0" fontId="7" fillId="0" borderId="13" xfId="0" applyFont="1" applyBorder="1" applyAlignment="1" applyProtection="1">
      <alignment wrapText="1"/>
    </xf>
    <xf numFmtId="0" fontId="7" fillId="0" borderId="0" xfId="0" applyFont="1" applyBorder="1" applyAlignment="1" applyProtection="1">
      <alignment wrapText="1"/>
    </xf>
    <xf numFmtId="0" fontId="7" fillId="0" borderId="14"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0" fontId="7" fillId="0" borderId="0" xfId="0" applyFont="1" applyFill="1" applyBorder="1" applyAlignment="1" applyProtection="1">
      <alignment wrapText="1"/>
    </xf>
    <xf numFmtId="49" fontId="46" fillId="0" borderId="0" xfId="0" applyNumberFormat="1" applyFont="1" applyAlignment="1" applyProtection="1">
      <alignment horizontal="center"/>
    </xf>
    <xf numFmtId="0" fontId="46" fillId="0" borderId="0" xfId="0" applyFont="1" applyAlignment="1" applyProtection="1">
      <alignment horizontal="center"/>
    </xf>
    <xf numFmtId="0" fontId="6" fillId="0" borderId="0" xfId="178" quotePrefix="1" applyFont="1" applyBorder="1" applyAlignment="1" applyProtection="1">
      <alignment horizontal="center"/>
    </xf>
    <xf numFmtId="0" fontId="46" fillId="0" borderId="0" xfId="178" applyFont="1" applyBorder="1" applyAlignment="1" applyProtection="1">
      <alignment horizontal="center"/>
    </xf>
    <xf numFmtId="3" fontId="6" fillId="0" borderId="0" xfId="0" applyNumberFormat="1" applyFont="1" applyAlignment="1" applyProtection="1">
      <alignment horizontal="center"/>
    </xf>
    <xf numFmtId="0" fontId="46" fillId="0" borderId="0" xfId="0" applyNumberFormat="1" applyFont="1" applyAlignment="1" applyProtection="1">
      <alignment horizontal="center"/>
    </xf>
    <xf numFmtId="49" fontId="6" fillId="0" borderId="0" xfId="0" applyNumberFormat="1" applyFont="1" applyAlignment="1" applyProtection="1">
      <alignment horizontal="center"/>
    </xf>
    <xf numFmtId="0" fontId="6" fillId="0" borderId="0" xfId="0" applyNumberFormat="1" applyFont="1" applyAlignment="1" applyProtection="1">
      <alignment horizontal="center"/>
    </xf>
  </cellXfs>
  <cellStyles count="264">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0" xfId="263"/>
    <cellStyle name="Comma 2" xfId="87"/>
    <cellStyle name="Comma 2 2" xfId="88"/>
    <cellStyle name="Comma 3" xfId="89"/>
    <cellStyle name="Comma 3 2" xfId="90"/>
    <cellStyle name="Comma 3 3" xfId="91"/>
    <cellStyle name="Comma 3 3 2" xfId="92"/>
    <cellStyle name="Comma 3 4" xfId="93"/>
    <cellStyle name="Comma 3 5" xfId="94"/>
    <cellStyle name="Comma 4" xfId="95"/>
    <cellStyle name="Comma 4 2" xfId="96"/>
    <cellStyle name="Comma 4 3" xfId="97"/>
    <cellStyle name="Comma 5" xfId="98"/>
    <cellStyle name="Comma 5 2" xfId="99"/>
    <cellStyle name="Comma 6" xfId="100"/>
    <cellStyle name="Comma 7" xfId="101"/>
    <cellStyle name="Comma0" xfId="102"/>
    <cellStyle name="Comma0 2" xfId="103"/>
    <cellStyle name="Comma0 2 2" xfId="104"/>
    <cellStyle name="Comma0 3" xfId="105"/>
    <cellStyle name="Currency" xfId="106" builtinId="4"/>
    <cellStyle name="Currency 2" xfId="107"/>
    <cellStyle name="Currency 2 2" xfId="108"/>
    <cellStyle name="Currency 2 2 2" xfId="109"/>
    <cellStyle name="Currency 3" xfId="110"/>
    <cellStyle name="Currency 3 2" xfId="111"/>
    <cellStyle name="Currency 3 3" xfId="112"/>
    <cellStyle name="Currency 3 3 2" xfId="113"/>
    <cellStyle name="Currency 3 4" xfId="114"/>
    <cellStyle name="Currency 3 5" xfId="115"/>
    <cellStyle name="Currency 4" xfId="116"/>
    <cellStyle name="Currency 4 2" xfId="117"/>
    <cellStyle name="Currency 4 2 2" xfId="118"/>
    <cellStyle name="Currency 5" xfId="119"/>
    <cellStyle name="Currency 5 2" xfId="120"/>
    <cellStyle name="Currency 6" xfId="121"/>
    <cellStyle name="Currency 6 2" xfId="122"/>
    <cellStyle name="Currency 6 3" xfId="123"/>
    <cellStyle name="Currency 6 4" xfId="124"/>
    <cellStyle name="Currency0" xfId="125"/>
    <cellStyle name="Currency0 2" xfId="126"/>
    <cellStyle name="Currency0 2 2" xfId="127"/>
    <cellStyle name="Currency0 3" xfId="128"/>
    <cellStyle name="Date" xfId="129"/>
    <cellStyle name="Date 2" xfId="130"/>
    <cellStyle name="Date 2 2" xfId="131"/>
    <cellStyle name="Date 3" xfId="132"/>
    <cellStyle name="Explanatory Text" xfId="133" builtinId="53" customBuiltin="1"/>
    <cellStyle name="Explanatory Text 2" xfId="134"/>
    <cellStyle name="Fixed" xfId="135"/>
    <cellStyle name="Fixed 2" xfId="136"/>
    <cellStyle name="Fixed 2 2" xfId="137"/>
    <cellStyle name="Fixed 3" xfId="138"/>
    <cellStyle name="Good" xfId="139" builtinId="26" customBuiltin="1"/>
    <cellStyle name="Good 2" xfId="140"/>
    <cellStyle name="Heading 1" xfId="141" builtinId="16" customBuiltin="1"/>
    <cellStyle name="Heading 1 2" xfId="142"/>
    <cellStyle name="Heading 1 3" xfId="143"/>
    <cellStyle name="Heading 1 3 2" xfId="144"/>
    <cellStyle name="Heading 2" xfId="145" builtinId="17" customBuiltin="1"/>
    <cellStyle name="Heading 2 2" xfId="146"/>
    <cellStyle name="Heading 2 3" xfId="147"/>
    <cellStyle name="Heading 2 3 2" xfId="148"/>
    <cellStyle name="Heading 3" xfId="149" builtinId="18" customBuiltin="1"/>
    <cellStyle name="Heading 3 2" xfId="150"/>
    <cellStyle name="Heading 4" xfId="151" builtinId="19" customBuiltin="1"/>
    <cellStyle name="Heading 4 2" xfId="152"/>
    <cellStyle name="Heading1" xfId="153"/>
    <cellStyle name="Heading2" xfId="154"/>
    <cellStyle name="Input" xfId="155" builtinId="20" customBuiltin="1"/>
    <cellStyle name="Input 2" xfId="156"/>
    <cellStyle name="Linked Cell" xfId="157" builtinId="24" customBuiltin="1"/>
    <cellStyle name="Linked Cell 2" xfId="158"/>
    <cellStyle name="M" xfId="159"/>
    <cellStyle name="M 2" xfId="160"/>
    <cellStyle name="M 2 2" xfId="161"/>
    <cellStyle name="M 2 2 2" xfId="162"/>
    <cellStyle name="M 3" xfId="163"/>
    <cellStyle name="M 3 2" xfId="164"/>
    <cellStyle name="M 3 2 2" xfId="165"/>
    <cellStyle name="M 4" xfId="166"/>
    <cellStyle name="M 5" xfId="167"/>
    <cellStyle name="M 5 2" xfId="168"/>
    <cellStyle name="M 6" xfId="169"/>
    <cellStyle name="M 6 2" xfId="170"/>
    <cellStyle name="M 7" xfId="171"/>
    <cellStyle name="Neutral" xfId="172" builtinId="28" customBuiltin="1"/>
    <cellStyle name="Neutral 2" xfId="173"/>
    <cellStyle name="Normal" xfId="0" builtinId="0"/>
    <cellStyle name="Normal 12" xfId="174"/>
    <cellStyle name="Normal 2" xfId="175"/>
    <cellStyle name="Normal 2 2" xfId="176"/>
    <cellStyle name="Normal 3" xfId="177"/>
    <cellStyle name="Normal 3 2" xfId="178"/>
    <cellStyle name="Normal 3 3" xfId="179"/>
    <cellStyle name="Normal 3_OPCo Period I PJM  Formula Rate" xfId="180"/>
    <cellStyle name="Normal 4" xfId="181"/>
    <cellStyle name="Normal 4 2" xfId="182"/>
    <cellStyle name="Normal 4 3" xfId="183"/>
    <cellStyle name="Normal 4 3 2" xfId="184"/>
    <cellStyle name="Normal 4 4" xfId="185"/>
    <cellStyle name="Normal 4 5" xfId="186"/>
    <cellStyle name="Normal 4 5 2" xfId="187"/>
    <cellStyle name="Normal 4 5 3" xfId="188"/>
    <cellStyle name="Normal 4_PBOP Exhibit 1" xfId="189"/>
    <cellStyle name="Normal 5" xfId="190"/>
    <cellStyle name="Normal_FN1 Ratebase Draft SPP template (6-11-04) v2" xfId="191"/>
    <cellStyle name="Note" xfId="192" builtinId="10" customBuiltin="1"/>
    <cellStyle name="Note 2" xfId="193"/>
    <cellStyle name="Output" xfId="194" builtinId="21" customBuiltin="1"/>
    <cellStyle name="Output 2" xfId="195"/>
    <cellStyle name="Percent" xfId="196" builtinId="5"/>
    <cellStyle name="Percent 2" xfId="197"/>
    <cellStyle name="Percent 2 2" xfId="198"/>
    <cellStyle name="Percent 2 2 2" xfId="199"/>
    <cellStyle name="Percent 3" xfId="200"/>
    <cellStyle name="Percent 3 2" xfId="201"/>
    <cellStyle name="Percent 3 3" xfId="202"/>
    <cellStyle name="Percent 3 3 2" xfId="203"/>
    <cellStyle name="Percent 3 4" xfId="204"/>
    <cellStyle name="Percent 3 5" xfId="205"/>
    <cellStyle name="Percent 4" xfId="206"/>
    <cellStyle name="Percent 4 2" xfId="207"/>
    <cellStyle name="Percent 4 3" xfId="208"/>
    <cellStyle name="Percent 5" xfId="209"/>
    <cellStyle name="Percent 5 2" xfId="210"/>
    <cellStyle name="Percent 5 3" xfId="211"/>
    <cellStyle name="Percent 6" xfId="212"/>
    <cellStyle name="Percent 7" xfId="213"/>
    <cellStyle name="PSChar" xfId="214"/>
    <cellStyle name="PSChar 2" xfId="215"/>
    <cellStyle name="PSChar 2 2" xfId="216"/>
    <cellStyle name="PSDate" xfId="217"/>
    <cellStyle name="PSDec" xfId="218"/>
    <cellStyle name="PSdesc" xfId="219"/>
    <cellStyle name="PSHeading" xfId="220"/>
    <cellStyle name="PSInt" xfId="221"/>
    <cellStyle name="PSSpacer" xfId="222"/>
    <cellStyle name="PStest" xfId="223"/>
    <cellStyle name="R00A" xfId="224"/>
    <cellStyle name="R00B" xfId="225"/>
    <cellStyle name="R00L" xfId="226"/>
    <cellStyle name="R01A" xfId="227"/>
    <cellStyle name="R01B" xfId="228"/>
    <cellStyle name="R01H" xfId="229"/>
    <cellStyle name="R01L" xfId="230"/>
    <cellStyle name="R02A" xfId="231"/>
    <cellStyle name="R02B" xfId="232"/>
    <cellStyle name="R02H" xfId="233"/>
    <cellStyle name="R02L" xfId="234"/>
    <cellStyle name="R03A" xfId="235"/>
    <cellStyle name="R03B" xfId="236"/>
    <cellStyle name="R03H" xfId="237"/>
    <cellStyle name="R03L" xfId="238"/>
    <cellStyle name="R04A" xfId="239"/>
    <cellStyle name="R04B" xfId="240"/>
    <cellStyle name="R04H" xfId="241"/>
    <cellStyle name="R04L" xfId="242"/>
    <cellStyle name="R05A" xfId="243"/>
    <cellStyle name="R05B" xfId="244"/>
    <cellStyle name="R05H" xfId="245"/>
    <cellStyle name="R05L" xfId="246"/>
    <cellStyle name="R06A" xfId="247"/>
    <cellStyle name="R06B" xfId="248"/>
    <cellStyle name="R06H" xfId="249"/>
    <cellStyle name="R06L" xfId="250"/>
    <cellStyle name="R07A" xfId="251"/>
    <cellStyle name="R07B" xfId="252"/>
    <cellStyle name="R07H" xfId="253"/>
    <cellStyle name="R07L" xfId="254"/>
    <cellStyle name="Title" xfId="255" builtinId="15" customBuiltin="1"/>
    <cellStyle name="Title 2" xfId="256"/>
    <cellStyle name="Total" xfId="257" builtinId="25" customBuiltin="1"/>
    <cellStyle name="Total 2" xfId="258"/>
    <cellStyle name="Total 3" xfId="259"/>
    <cellStyle name="Total 3 2" xfId="260"/>
    <cellStyle name="Warning Text" xfId="261" builtinId="11" customBuiltin="1"/>
    <cellStyle name="Warning Text 2" xfId="262"/>
  </cellStyles>
  <dxfs count="61">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28</xdr:row>
      <xdr:rowOff>114300</xdr:rowOff>
    </xdr:from>
    <xdr:to>
      <xdr:col>4</xdr:col>
      <xdr:colOff>504825</xdr:colOff>
      <xdr:row>29</xdr:row>
      <xdr:rowOff>152400</xdr:rowOff>
    </xdr:to>
    <xdr:sp macro="" textlink="">
      <xdr:nvSpPr>
        <xdr:cNvPr id="1554" name="Text Box 1"/>
        <xdr:cNvSpPr txBox="1">
          <a:spLocks noChangeArrowheads="1"/>
        </xdr:cNvSpPr>
      </xdr:nvSpPr>
      <xdr:spPr bwMode="auto">
        <a:xfrm>
          <a:off x="4152900" y="5448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2936"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1912"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3960"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4984"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5996"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6977"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28966"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1998"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3022"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76200</xdr:rowOff>
    </xdr:to>
    <xdr:sp macro="" textlink="">
      <xdr:nvSpPr>
        <xdr:cNvPr id="36881" name="Text Box 1"/>
        <xdr:cNvSpPr txBox="1">
          <a:spLocks noChangeArrowheads="1"/>
        </xdr:cNvSpPr>
      </xdr:nvSpPr>
      <xdr:spPr bwMode="auto">
        <a:xfrm>
          <a:off x="3905250" y="0"/>
          <a:ext cx="1143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523875</xdr:colOff>
      <xdr:row>0</xdr:row>
      <xdr:rowOff>219075</xdr:rowOff>
    </xdr:to>
    <xdr:sp macro="" textlink="">
      <xdr:nvSpPr>
        <xdr:cNvPr id="2597" name="Text Box 1"/>
        <xdr:cNvSpPr txBox="1">
          <a:spLocks noChangeArrowheads="1"/>
        </xdr:cNvSpPr>
      </xdr:nvSpPr>
      <xdr:spPr bwMode="auto">
        <a:xfrm>
          <a:off x="3914775" y="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0</xdr:rowOff>
    </xdr:to>
    <xdr:sp macro="" textlink="">
      <xdr:nvSpPr>
        <xdr:cNvPr id="35909" name="Text Box 1"/>
        <xdr:cNvSpPr txBox="1">
          <a:spLocks noChangeArrowheads="1"/>
        </xdr:cNvSpPr>
      </xdr:nvSpPr>
      <xdr:spPr bwMode="auto">
        <a:xfrm>
          <a:off x="3905250" y="0"/>
          <a:ext cx="1143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79375</xdr:rowOff>
    </xdr:to>
    <xdr:sp macro="" textlink="">
      <xdr:nvSpPr>
        <xdr:cNvPr id="2" name="Text Box 1"/>
        <xdr:cNvSpPr txBox="1">
          <a:spLocks noChangeArrowheads="1"/>
        </xdr:cNvSpPr>
      </xdr:nvSpPr>
      <xdr:spPr bwMode="auto">
        <a:xfrm>
          <a:off x="4073525"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2</xdr:row>
      <xdr:rowOff>12700</xdr:rowOff>
    </xdr:to>
    <xdr:sp macro="" textlink="">
      <xdr:nvSpPr>
        <xdr:cNvPr id="2" name="Text Box 1"/>
        <xdr:cNvSpPr txBox="1">
          <a:spLocks noChangeArrowheads="1"/>
        </xdr:cNvSpPr>
      </xdr:nvSpPr>
      <xdr:spPr bwMode="auto">
        <a:xfrm>
          <a:off x="3905250" y="0"/>
          <a:ext cx="114300" cy="336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2</xdr:row>
      <xdr:rowOff>12700</xdr:rowOff>
    </xdr:to>
    <xdr:sp macro="" textlink="">
      <xdr:nvSpPr>
        <xdr:cNvPr id="2" name="Text Box 1"/>
        <xdr:cNvSpPr txBox="1">
          <a:spLocks noChangeArrowheads="1"/>
        </xdr:cNvSpPr>
      </xdr:nvSpPr>
      <xdr:spPr bwMode="auto">
        <a:xfrm>
          <a:off x="3905250" y="0"/>
          <a:ext cx="114300" cy="336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2</xdr:row>
      <xdr:rowOff>12700</xdr:rowOff>
    </xdr:to>
    <xdr:sp macro="" textlink="">
      <xdr:nvSpPr>
        <xdr:cNvPr id="2" name="Text Box 1"/>
        <xdr:cNvSpPr txBox="1">
          <a:spLocks noChangeArrowheads="1"/>
        </xdr:cNvSpPr>
      </xdr:nvSpPr>
      <xdr:spPr bwMode="auto">
        <a:xfrm>
          <a:off x="3905250" y="0"/>
          <a:ext cx="114300" cy="336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12784"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3568"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5856"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6881"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7904"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8929"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19898"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0920"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cing/dbw/SWPP%20Form%20Rate/Lila%20added/AEP%20SPP%20For%20Rate%20Proj%20w%2013%20mth%20rate%20base%20june-07%20-%20June-08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78"/>
  <sheetViews>
    <sheetView tabSelected="1" zoomScale="70" zoomScaleNormal="70" zoomScaleSheetLayoutView="80" workbookViewId="0"/>
  </sheetViews>
  <sheetFormatPr defaultColWidth="8.7109375" defaultRowHeight="12.75" customHeight="1"/>
  <cols>
    <col min="1" max="1" width="9.85546875" style="145" customWidth="1"/>
    <col min="2" max="2" width="7" style="145" bestFit="1" customWidth="1"/>
    <col min="3" max="3" width="43.140625" style="145" customWidth="1"/>
    <col min="4" max="4" width="9" style="145" customWidth="1"/>
    <col min="5" max="5" width="15.7109375" style="145" customWidth="1"/>
    <col min="6" max="6" width="13.85546875" style="145" customWidth="1"/>
    <col min="7" max="7" width="14.28515625" style="145" customWidth="1"/>
    <col min="8" max="8" width="2.85546875" style="145" customWidth="1"/>
    <col min="9" max="9" width="13.7109375" style="145" customWidth="1"/>
    <col min="10" max="10" width="13.28515625" style="145" customWidth="1"/>
    <col min="11" max="11" width="13.85546875" style="145" bestFit="1" customWidth="1"/>
    <col min="12" max="12" width="16.42578125" style="145" customWidth="1"/>
    <col min="13" max="13" width="2.42578125" style="145" customWidth="1"/>
    <col min="14" max="14" width="6.140625" style="145" customWidth="1"/>
    <col min="15" max="15" width="7.7109375" style="145" customWidth="1"/>
    <col min="16" max="16" width="10.7109375" style="145" customWidth="1"/>
    <col min="17" max="17" width="11.140625" style="145" bestFit="1" customWidth="1"/>
    <col min="18" max="18" width="18.7109375" style="145" customWidth="1"/>
    <col min="19" max="19" width="2.42578125" style="145" customWidth="1"/>
    <col min="20" max="20" width="14.28515625" style="145" customWidth="1"/>
    <col min="21" max="21" width="8.7109375" style="145"/>
    <col min="22" max="22" width="18" style="145" customWidth="1"/>
    <col min="23" max="16384" width="8.7109375" style="145"/>
  </cols>
  <sheetData>
    <row r="1" spans="1:23" ht="15">
      <c r="H1" s="146" t="s">
        <v>136</v>
      </c>
      <c r="U1" s="145">
        <v>2022</v>
      </c>
    </row>
    <row r="2" spans="1:23" ht="15">
      <c r="H2" s="147" t="s">
        <v>159</v>
      </c>
    </row>
    <row r="3" spans="1:23" ht="15">
      <c r="H3" s="148" t="str">
        <f>"For Calendar Year "&amp;U1-1&amp;" and Projected Year "&amp;U1</f>
        <v>For Calendar Year 2021 and Projected Year 2022</v>
      </c>
    </row>
    <row r="4" spans="1:23" ht="15">
      <c r="H4" s="149"/>
    </row>
    <row r="5" spans="1:23" ht="15.75">
      <c r="H5" s="150" t="s">
        <v>137</v>
      </c>
    </row>
    <row r="7" spans="1:23" ht="18">
      <c r="C7" s="151"/>
      <c r="E7" s="151"/>
      <c r="F7" s="151"/>
      <c r="G7" s="151"/>
      <c r="H7" s="151" t="s">
        <v>188</v>
      </c>
      <c r="I7" s="151"/>
      <c r="J7" s="151"/>
      <c r="K7" s="151"/>
      <c r="L7" s="151"/>
    </row>
    <row r="8" spans="1:23">
      <c r="D8" s="152"/>
    </row>
    <row r="9" spans="1:23">
      <c r="A9" s="145" t="str">
        <f>"Note: Some project's final trued-up cost may not meet SPP's $100,000 threshold for socialization.  In that case a true-up of the pirior year ARR will be made in columns "&amp;I12&amp;" through "&amp;Q12&amp;", but no projected ARR will be shown in columns "&amp;E12&amp;" through "&amp;LEFT(G12,3)&amp;" for the current year."</f>
        <v>Note: Some project's final trued-up cost may not meet SPP's $100,000 threshold for socialization.  In that case a true-up of the pirior year ARR will be made in columns (H) through (O), but no projected ARR will be shown in columns (E) through (G) for the current year.</v>
      </c>
    </row>
    <row r="12" spans="1:23" ht="22.5" customHeight="1">
      <c r="A12" s="153" t="s">
        <v>138</v>
      </c>
      <c r="B12" s="153" t="s">
        <v>139</v>
      </c>
      <c r="C12" s="154" t="s">
        <v>140</v>
      </c>
      <c r="D12" s="153" t="s">
        <v>141</v>
      </c>
      <c r="E12" s="153" t="s">
        <v>142</v>
      </c>
      <c r="F12" s="153" t="s">
        <v>143</v>
      </c>
      <c r="G12" s="153" t="str">
        <f>"(G) = "&amp;E12&amp;" + "&amp;F12</f>
        <v>(G) = (E) + (F)</v>
      </c>
      <c r="H12" s="153"/>
      <c r="I12" s="153" t="s">
        <v>144</v>
      </c>
      <c r="J12" s="153" t="s">
        <v>145</v>
      </c>
      <c r="K12" s="155" t="s">
        <v>167</v>
      </c>
      <c r="L12" s="153" t="str">
        <f>"(K) = "&amp;J12&amp;" - "&amp;K12</f>
        <v>(K) = (I) - (J)</v>
      </c>
      <c r="M12" s="153"/>
      <c r="N12" s="153" t="s">
        <v>168</v>
      </c>
      <c r="O12" s="153" t="s">
        <v>146</v>
      </c>
      <c r="P12" s="153" t="str">
        <f>"(N) = "&amp;N12&amp;"-"&amp;O12</f>
        <v>(N) = (L)-(M)</v>
      </c>
      <c r="Q12" s="153" t="s">
        <v>169</v>
      </c>
      <c r="R12" s="153" t="str">
        <f>"(P) = "&amp;I12&amp;"+"&amp;LEFT(L12,3)&amp;"+"&amp;LEFT(P12,3)&amp;"+"&amp;Q12</f>
        <v>(P) = (H)+(K)+(N)+(O)</v>
      </c>
      <c r="S12" s="153"/>
      <c r="T12" s="153" t="str">
        <f>"(Q) = "&amp;LEFT(G12,3)&amp;" + "&amp;LEFT(R12,3)</f>
        <v>(Q) = (G) + (P)</v>
      </c>
      <c r="U12" s="153"/>
      <c r="V12" s="156"/>
      <c r="W12" s="156"/>
    </row>
    <row r="13" spans="1:23" ht="16.5" customHeight="1">
      <c r="A13" s="157"/>
      <c r="B13" s="157"/>
      <c r="C13" s="157"/>
      <c r="D13" s="157"/>
      <c r="E13" s="655" t="str">
        <f>"Projected ARR For "&amp;U1&amp;" From WS-F"</f>
        <v>Projected ARR For 2022 From WS-F</v>
      </c>
      <c r="F13" s="655"/>
      <c r="G13" s="655"/>
      <c r="H13" s="157"/>
      <c r="I13" s="158" t="str">
        <f>"True-Up ARR CY"&amp;U1-2&amp;" From Worksheet G  (includes adjustment for SPP Collections)"</f>
        <v>True-Up ARR CY2020 From Worksheet G  (includes adjustment for SPP Collections)</v>
      </c>
      <c r="J13" s="158"/>
      <c r="K13" s="158"/>
      <c r="L13" s="158"/>
      <c r="M13" s="158"/>
      <c r="N13" s="158"/>
      <c r="O13" s="158"/>
      <c r="P13" s="158"/>
      <c r="Q13" s="158"/>
      <c r="R13" s="159"/>
      <c r="S13" s="157"/>
      <c r="T13" s="157"/>
      <c r="U13" s="157"/>
    </row>
    <row r="14" spans="1:23" ht="18" customHeight="1">
      <c r="G14" s="160"/>
      <c r="T14" s="656" t="str">
        <f>"Total ADJUSTED Revenue Requirement Effective
1/1/"&amp;U1&amp;""</f>
        <v>Total ADJUSTED Revenue Requirement Effective
1/1/2022</v>
      </c>
    </row>
    <row r="15" spans="1:23" ht="18" customHeight="1" thickBot="1">
      <c r="D15" s="157"/>
      <c r="E15" s="161"/>
      <c r="F15" s="161"/>
      <c r="G15" s="161"/>
      <c r="I15" s="158" t="s">
        <v>147</v>
      </c>
      <c r="J15" s="162"/>
      <c r="K15" s="162"/>
      <c r="L15" s="162"/>
      <c r="M15" s="163"/>
      <c r="N15" s="158" t="s">
        <v>166</v>
      </c>
      <c r="O15" s="164"/>
      <c r="P15" s="164"/>
      <c r="Q15" s="165"/>
      <c r="T15" s="656"/>
    </row>
    <row r="16" spans="1:23" ht="72.75" customHeight="1">
      <c r="A16" s="166" t="s">
        <v>156</v>
      </c>
      <c r="B16" s="167" t="s">
        <v>148</v>
      </c>
      <c r="C16" s="167" t="s">
        <v>116</v>
      </c>
      <c r="D16" s="168" t="s">
        <v>149</v>
      </c>
      <c r="E16" s="169" t="s">
        <v>164</v>
      </c>
      <c r="F16" s="170" t="s">
        <v>150</v>
      </c>
      <c r="G16" s="170" t="s">
        <v>151</v>
      </c>
      <c r="I16" s="171" t="s">
        <v>163</v>
      </c>
      <c r="J16" s="172" t="s">
        <v>267</v>
      </c>
      <c r="K16" s="171" t="s">
        <v>179</v>
      </c>
      <c r="L16" s="171" t="s">
        <v>165</v>
      </c>
      <c r="M16" s="171"/>
      <c r="N16" s="172" t="s">
        <v>152</v>
      </c>
      <c r="O16" s="172" t="s">
        <v>153</v>
      </c>
      <c r="P16" s="173" t="s">
        <v>154</v>
      </c>
      <c r="Q16" s="173" t="s">
        <v>155</v>
      </c>
      <c r="R16" s="169" t="s">
        <v>181</v>
      </c>
      <c r="T16" s="656"/>
      <c r="V16" s="174" t="s">
        <v>170</v>
      </c>
    </row>
    <row r="17" spans="1:23">
      <c r="B17" s="157"/>
      <c r="C17" s="157"/>
      <c r="E17" s="175"/>
      <c r="F17" s="175"/>
      <c r="G17" s="175"/>
      <c r="I17" s="175"/>
      <c r="J17" s="175"/>
      <c r="K17" s="175"/>
      <c r="L17" s="175"/>
      <c r="M17" s="175"/>
      <c r="N17" s="175"/>
      <c r="O17" s="175"/>
      <c r="P17" s="175"/>
      <c r="Q17" s="175"/>
      <c r="R17" s="175"/>
      <c r="T17" s="175"/>
      <c r="V17" s="176"/>
    </row>
    <row r="18" spans="1:23">
      <c r="A18" s="155" t="s">
        <v>194</v>
      </c>
      <c r="B18" s="153" t="s">
        <v>182</v>
      </c>
      <c r="C18" s="177" t="str">
        <f t="shared" ref="C18:F40" ca="1" si="0">INDIRECT("'"&amp; $A18 &amp; "'!" &amp;C$49)</f>
        <v>Snyder 138 kV Terminal Addition</v>
      </c>
      <c r="D18" s="178">
        <f t="shared" ca="1" si="0"/>
        <v>2010</v>
      </c>
      <c r="E18" s="646">
        <f ca="1">INDIRECT("'"&amp; $A18 &amp; "'!" &amp;E$49)</f>
        <v>83794.43683291944</v>
      </c>
      <c r="F18" s="646">
        <f ca="1">INDIRECT("'"&amp; $A18 &amp; "'!" &amp;F$49)</f>
        <v>0</v>
      </c>
      <c r="G18" s="180">
        <f t="shared" ref="G18:G23" ca="1" si="1">+E18+F18</f>
        <v>83794.43683291944</v>
      </c>
      <c r="H18" s="181"/>
      <c r="I18" s="179">
        <f t="shared" ref="I18:I40" ca="1" si="2">INDIRECT("'"&amp; $A18 &amp; "'!" &amp;I$49)</f>
        <v>4038.1526281786937</v>
      </c>
      <c r="J18" s="182">
        <v>75845.752358652899</v>
      </c>
      <c r="K18" s="182">
        <v>82862.286128075822</v>
      </c>
      <c r="L18" s="179">
        <f t="shared" ref="L18:L23" si="3">+J18-K18</f>
        <v>-7016.5337694229238</v>
      </c>
      <c r="M18" s="179"/>
      <c r="N18" s="180">
        <v>0</v>
      </c>
      <c r="O18" s="180">
        <v>0</v>
      </c>
      <c r="P18" s="180"/>
      <c r="Q18" s="182">
        <f ca="1">+V18/$V$42 * $Q$42</f>
        <v>-205.69914878017639</v>
      </c>
      <c r="R18" s="183">
        <f ca="1">I18+L18+P18+Q18</f>
        <v>-3184.0802900244066</v>
      </c>
      <c r="S18" s="183"/>
      <c r="T18" s="184">
        <f t="shared" ref="T18:T23" ca="1" si="4">+G18+R18</f>
        <v>80610.356542895039</v>
      </c>
      <c r="V18" s="185">
        <f t="shared" ref="V18:V23" ca="1" si="5">+I18+L18+P18</f>
        <v>-2978.3811412442301</v>
      </c>
      <c r="W18" s="145" t="str">
        <f t="shared" ref="W18:W23" si="6">A18</f>
        <v>OKT.001</v>
      </c>
    </row>
    <row r="19" spans="1:23" ht="25.5">
      <c r="A19" s="155" t="s">
        <v>195</v>
      </c>
      <c r="B19" s="153" t="s">
        <v>182</v>
      </c>
      <c r="C19" s="177" t="str">
        <f t="shared" ca="1" si="0"/>
        <v>Coffeyville T to Dearing 138 kV Rebuild - 1.1 miles</v>
      </c>
      <c r="D19" s="178">
        <f t="shared" ca="1" si="0"/>
        <v>2010</v>
      </c>
      <c r="E19" s="646">
        <f t="shared" ca="1" si="0"/>
        <v>112848.37260844371</v>
      </c>
      <c r="F19" s="646">
        <f t="shared" ca="1" si="0"/>
        <v>0</v>
      </c>
      <c r="G19" s="180">
        <f t="shared" ca="1" si="1"/>
        <v>112848.37260844371</v>
      </c>
      <c r="H19" s="181"/>
      <c r="I19" s="179">
        <f t="shared" ca="1" si="2"/>
        <v>5719.0470040592772</v>
      </c>
      <c r="J19" s="182">
        <v>102508.45444876386</v>
      </c>
      <c r="K19" s="182">
        <v>111991.56998158839</v>
      </c>
      <c r="L19" s="179">
        <f t="shared" si="3"/>
        <v>-9483.1155328245222</v>
      </c>
      <c r="M19" s="179"/>
      <c r="N19" s="180">
        <v>0</v>
      </c>
      <c r="O19" s="180">
        <v>0</v>
      </c>
      <c r="P19" s="180"/>
      <c r="Q19" s="182">
        <f t="shared" ref="Q19:Q35" ca="1" si="7">+V19/$V$42 * $Q$42</f>
        <v>-259.96192414574898</v>
      </c>
      <c r="R19" s="183">
        <f t="shared" ref="R19:R23" ca="1" si="8">I19+L19+P19+Q19</f>
        <v>-4024.030452910994</v>
      </c>
      <c r="S19" s="183"/>
      <c r="T19" s="186">
        <f t="shared" ca="1" si="4"/>
        <v>108824.34215553271</v>
      </c>
      <c r="V19" s="185">
        <f t="shared" ca="1" si="5"/>
        <v>-3764.068528765245</v>
      </c>
      <c r="W19" s="145" t="str">
        <f t="shared" si="6"/>
        <v>OKT.002</v>
      </c>
    </row>
    <row r="20" spans="1:23">
      <c r="A20" s="155" t="s">
        <v>202</v>
      </c>
      <c r="B20" s="153" t="s">
        <v>182</v>
      </c>
      <c r="C20" s="177" t="str">
        <f t="shared" ca="1" si="0"/>
        <v>Tulsa Power Station Reactor</v>
      </c>
      <c r="D20" s="178">
        <f t="shared" ca="1" si="0"/>
        <v>2011</v>
      </c>
      <c r="E20" s="646">
        <f t="shared" ca="1" si="0"/>
        <v>72051.357380752626</v>
      </c>
      <c r="F20" s="646">
        <f t="shared" ca="1" si="0"/>
        <v>0</v>
      </c>
      <c r="G20" s="180">
        <f t="shared" ca="1" si="1"/>
        <v>72051.357380752626</v>
      </c>
      <c r="H20" s="181"/>
      <c r="I20" s="179">
        <f t="shared" ca="1" si="2"/>
        <v>3535.1593144298095</v>
      </c>
      <c r="J20" s="182">
        <v>65232.476873519343</v>
      </c>
      <c r="K20" s="182">
        <v>71267.170480114321</v>
      </c>
      <c r="L20" s="179">
        <f t="shared" si="3"/>
        <v>-6034.6936065949776</v>
      </c>
      <c r="M20" s="179"/>
      <c r="N20" s="180">
        <v>0</v>
      </c>
      <c r="O20" s="180">
        <v>0</v>
      </c>
      <c r="P20" s="180"/>
      <c r="Q20" s="182">
        <f t="shared" ca="1" si="7"/>
        <v>-172.6280324318891</v>
      </c>
      <c r="R20" s="183">
        <f t="shared" ca="1" si="8"/>
        <v>-2672.1623245970572</v>
      </c>
      <c r="S20" s="183"/>
      <c r="T20" s="186">
        <f t="shared" ca="1" si="4"/>
        <v>69379.195056155571</v>
      </c>
      <c r="V20" s="185">
        <f t="shared" ca="1" si="5"/>
        <v>-2499.5342921651682</v>
      </c>
      <c r="W20" s="145" t="str">
        <f t="shared" si="6"/>
        <v>OKT.003</v>
      </c>
    </row>
    <row r="21" spans="1:23">
      <c r="A21" s="155" t="s">
        <v>203</v>
      </c>
      <c r="B21" s="153" t="s">
        <v>182</v>
      </c>
      <c r="C21" s="177" t="str">
        <f t="shared" ca="1" si="0"/>
        <v xml:space="preserve">Bartlesville SE to Coffeyville T Rebuild </v>
      </c>
      <c r="D21" s="178">
        <f t="shared" ca="1" si="0"/>
        <v>2011</v>
      </c>
      <c r="E21" s="646">
        <f t="shared" ca="1" si="0"/>
        <v>1288740.9368321924</v>
      </c>
      <c r="F21" s="646">
        <f t="shared" ca="1" si="0"/>
        <v>0</v>
      </c>
      <c r="G21" s="180">
        <f t="shared" ca="1" si="1"/>
        <v>1288740.9368321924</v>
      </c>
      <c r="H21" s="181"/>
      <c r="I21" s="179">
        <f t="shared" ca="1" si="2"/>
        <v>56711.762982489076</v>
      </c>
      <c r="J21" s="182">
        <v>1160413.5948725585</v>
      </c>
      <c r="K21" s="182">
        <v>1267764.1177656427</v>
      </c>
      <c r="L21" s="179">
        <f t="shared" si="3"/>
        <v>-107350.52289308421</v>
      </c>
      <c r="M21" s="179"/>
      <c r="N21" s="180">
        <v>0</v>
      </c>
      <c r="O21" s="180">
        <v>0</v>
      </c>
      <c r="P21" s="180"/>
      <c r="Q21" s="182">
        <f t="shared" ca="1" si="7"/>
        <v>-3497.3192868598649</v>
      </c>
      <c r="R21" s="183">
        <f t="shared" ca="1" si="8"/>
        <v>-54136.079197455001</v>
      </c>
      <c r="S21" s="183"/>
      <c r="T21" s="186">
        <f t="shared" ca="1" si="4"/>
        <v>1234604.8576347374</v>
      </c>
      <c r="V21" s="185">
        <f t="shared" ca="1" si="5"/>
        <v>-50638.759910595138</v>
      </c>
      <c r="W21" s="145" t="str">
        <f t="shared" si="6"/>
        <v>OKT.004</v>
      </c>
    </row>
    <row r="22" spans="1:23">
      <c r="A22" s="155" t="s">
        <v>207</v>
      </c>
      <c r="B22" s="153" t="s">
        <v>182</v>
      </c>
      <c r="C22" s="177" t="str">
        <f t="shared" ca="1" si="0"/>
        <v>Install 345kV terminal at Valliant***</v>
      </c>
      <c r="D22" s="178">
        <f t="shared" ca="1" si="0"/>
        <v>2012</v>
      </c>
      <c r="E22" s="646">
        <f t="shared" ca="1" si="0"/>
        <v>0</v>
      </c>
      <c r="F22" s="646">
        <f t="shared" ca="1" si="0"/>
        <v>0</v>
      </c>
      <c r="G22" s="180">
        <f t="shared" ca="1" si="1"/>
        <v>0</v>
      </c>
      <c r="H22" s="181"/>
      <c r="I22" s="179">
        <f t="shared" ca="1" si="2"/>
        <v>0</v>
      </c>
      <c r="J22" s="182">
        <v>0</v>
      </c>
      <c r="K22" s="182">
        <v>0</v>
      </c>
      <c r="L22" s="179">
        <f t="shared" si="3"/>
        <v>0</v>
      </c>
      <c r="M22" s="179"/>
      <c r="N22" s="180">
        <v>0</v>
      </c>
      <c r="O22" s="180">
        <v>0</v>
      </c>
      <c r="P22" s="180"/>
      <c r="Q22" s="182">
        <f t="shared" ca="1" si="7"/>
        <v>0</v>
      </c>
      <c r="R22" s="183">
        <f t="shared" ca="1" si="8"/>
        <v>0</v>
      </c>
      <c r="S22" s="183"/>
      <c r="T22" s="186">
        <f t="shared" ca="1" si="4"/>
        <v>0</v>
      </c>
      <c r="V22" s="185">
        <f t="shared" ca="1" si="5"/>
        <v>0</v>
      </c>
      <c r="W22" s="145" t="str">
        <f t="shared" si="6"/>
        <v>OKT.005</v>
      </c>
    </row>
    <row r="23" spans="1:23" ht="25.5">
      <c r="A23" s="155" t="s">
        <v>208</v>
      </c>
      <c r="B23" s="153" t="s">
        <v>182</v>
      </c>
      <c r="C23" s="177" t="str">
        <f t="shared" ca="1" si="0"/>
        <v xml:space="preserve">Canadian River - McAlester City 138 kV Line Conversion </v>
      </c>
      <c r="D23" s="178">
        <f t="shared" ca="1" si="0"/>
        <v>2013</v>
      </c>
      <c r="E23" s="646">
        <f t="shared" ca="1" si="0"/>
        <v>3505662.168801737</v>
      </c>
      <c r="F23" s="646">
        <f t="shared" ca="1" si="0"/>
        <v>0</v>
      </c>
      <c r="G23" s="180">
        <f t="shared" ca="1" si="1"/>
        <v>3505662.168801737</v>
      </c>
      <c r="H23" s="181"/>
      <c r="I23" s="179">
        <f t="shared" ca="1" si="2"/>
        <v>165690.41140777664</v>
      </c>
      <c r="J23" s="182">
        <v>3160973.8116708687</v>
      </c>
      <c r="K23" s="182">
        <v>3453397.3001870303</v>
      </c>
      <c r="L23" s="179">
        <f t="shared" si="3"/>
        <v>-292423.48851616168</v>
      </c>
      <c r="M23" s="179"/>
      <c r="N23" s="180">
        <v>0</v>
      </c>
      <c r="O23" s="180">
        <v>0</v>
      </c>
      <c r="P23" s="180"/>
      <c r="Q23" s="182">
        <f t="shared" ca="1" si="7"/>
        <v>-8752.7031790823403</v>
      </c>
      <c r="R23" s="183">
        <f t="shared" ca="1" si="8"/>
        <v>-135485.78028746738</v>
      </c>
      <c r="S23" s="183"/>
      <c r="T23" s="186">
        <f t="shared" ca="1" si="4"/>
        <v>3370176.3885142696</v>
      </c>
      <c r="V23" s="185">
        <f t="shared" ca="1" si="5"/>
        <v>-126733.07710838504</v>
      </c>
      <c r="W23" s="145" t="str">
        <f t="shared" si="6"/>
        <v>OKT.006</v>
      </c>
    </row>
    <row r="24" spans="1:23">
      <c r="A24" s="155" t="s">
        <v>216</v>
      </c>
      <c r="B24" s="153" t="s">
        <v>182</v>
      </c>
      <c r="C24" s="177" t="str">
        <f t="shared" ca="1" si="0"/>
        <v xml:space="preserve">Cornville Station Conversion </v>
      </c>
      <c r="D24" s="178">
        <f t="shared" ca="1" si="0"/>
        <v>2014</v>
      </c>
      <c r="E24" s="646">
        <f t="shared" ca="1" si="0"/>
        <v>1248535.8805302577</v>
      </c>
      <c r="F24" s="646">
        <f t="shared" ca="1" si="0"/>
        <v>0</v>
      </c>
      <c r="G24" s="180">
        <f t="shared" ref="G24:G30" ca="1" si="9">+E24+F24</f>
        <v>1248535.8805302577</v>
      </c>
      <c r="H24" s="181"/>
      <c r="I24" s="179">
        <f t="shared" ca="1" si="2"/>
        <v>60670.865046339808</v>
      </c>
      <c r="J24" s="182">
        <v>1127161.7960846452</v>
      </c>
      <c r="K24" s="182">
        <v>1231436.1761241893</v>
      </c>
      <c r="L24" s="179">
        <f t="shared" ref="L24:L30" si="10">+J24-K24</f>
        <v>-104274.38003954408</v>
      </c>
      <c r="M24" s="179"/>
      <c r="N24" s="180">
        <v>0</v>
      </c>
      <c r="O24" s="180">
        <v>0</v>
      </c>
      <c r="P24" s="180"/>
      <c r="Q24" s="182">
        <f t="shared" ca="1" si="7"/>
        <v>-3011.4365800002533</v>
      </c>
      <c r="R24" s="183">
        <f t="shared" ref="R24:R30" ca="1" si="11">I24+L24+P24+Q24</f>
        <v>-46614.951573204526</v>
      </c>
      <c r="S24" s="183"/>
      <c r="T24" s="186">
        <f t="shared" ref="T24:T30" ca="1" si="12">+G24+R24</f>
        <v>1201920.9289570532</v>
      </c>
      <c r="V24" s="185">
        <f t="shared" ref="V24:V30" ca="1" si="13">+I24+L24+P24</f>
        <v>-43603.51499320427</v>
      </c>
      <c r="W24" s="145" t="str">
        <f t="shared" ref="W24:W30" si="14">A24</f>
        <v>OKT.007</v>
      </c>
    </row>
    <row r="25" spans="1:23">
      <c r="A25" s="155" t="s">
        <v>217</v>
      </c>
      <c r="B25" s="153" t="s">
        <v>182</v>
      </c>
      <c r="C25" s="177" t="str">
        <f t="shared" ca="1" si="0"/>
        <v>Coweta 69 kV Capacitor</v>
      </c>
      <c r="D25" s="178">
        <f t="shared" ca="1" si="0"/>
        <v>2014</v>
      </c>
      <c r="E25" s="646">
        <f t="shared" ca="1" si="0"/>
        <v>229461.48395077669</v>
      </c>
      <c r="F25" s="646">
        <f t="shared" ca="1" si="0"/>
        <v>0</v>
      </c>
      <c r="G25" s="188">
        <f t="shared" ca="1" si="9"/>
        <v>229461.48395077669</v>
      </c>
      <c r="H25" s="189"/>
      <c r="I25" s="179">
        <f t="shared" ca="1" si="2"/>
        <v>9859.9848762254987</v>
      </c>
      <c r="J25" s="182">
        <v>205417.70509957627</v>
      </c>
      <c r="K25" s="182">
        <v>224421.0140502601</v>
      </c>
      <c r="L25" s="187">
        <f t="shared" si="10"/>
        <v>-19003.30895068383</v>
      </c>
      <c r="M25" s="187"/>
      <c r="N25" s="188">
        <v>0</v>
      </c>
      <c r="O25" s="188">
        <v>0</v>
      </c>
      <c r="P25" s="180"/>
      <c r="Q25" s="190">
        <f t="shared" ca="1" si="7"/>
        <v>-631.47525113312804</v>
      </c>
      <c r="R25" s="191">
        <f t="shared" ca="1" si="11"/>
        <v>-9774.7993255914589</v>
      </c>
      <c r="S25" s="191"/>
      <c r="T25" s="192">
        <f t="shared" ca="1" si="12"/>
        <v>219686.68462518524</v>
      </c>
      <c r="V25" s="185">
        <f ca="1">+I25+L25+P25</f>
        <v>-9143.3240744583309</v>
      </c>
      <c r="W25" s="145" t="str">
        <f t="shared" si="14"/>
        <v>OKT.008</v>
      </c>
    </row>
    <row r="26" spans="1:23">
      <c r="A26" s="193" t="s">
        <v>225</v>
      </c>
      <c r="B26" s="153" t="s">
        <v>182</v>
      </c>
      <c r="C26" s="177" t="str">
        <f t="shared" ca="1" si="0"/>
        <v>Prattville-Bluebell 138 kV</v>
      </c>
      <c r="D26" s="178">
        <f t="shared" ca="1" si="0"/>
        <v>2015</v>
      </c>
      <c r="E26" s="646">
        <f t="shared" ca="1" si="0"/>
        <v>1061934.9640688223</v>
      </c>
      <c r="F26" s="646">
        <f t="shared" ca="1" si="0"/>
        <v>0</v>
      </c>
      <c r="G26" s="188">
        <f t="shared" ca="1" si="9"/>
        <v>1061934.9640688223</v>
      </c>
      <c r="H26" s="189"/>
      <c r="I26" s="179">
        <f t="shared" ca="1" si="2"/>
        <v>50374.399835685501</v>
      </c>
      <c r="J26" s="182">
        <v>956383.66694558028</v>
      </c>
      <c r="K26" s="182">
        <v>1044859.2649450063</v>
      </c>
      <c r="L26" s="187">
        <f t="shared" si="10"/>
        <v>-88475.597999426071</v>
      </c>
      <c r="M26" s="187"/>
      <c r="N26" s="188">
        <v>0</v>
      </c>
      <c r="O26" s="188">
        <v>0</v>
      </c>
      <c r="P26" s="180"/>
      <c r="Q26" s="190">
        <f ca="1">+V26/$V$42 * $Q$42</f>
        <v>-2631.4241388569085</v>
      </c>
      <c r="R26" s="191">
        <f t="shared" ca="1" si="11"/>
        <v>-40732.622302597476</v>
      </c>
      <c r="S26" s="191"/>
      <c r="T26" s="192">
        <f t="shared" ca="1" si="12"/>
        <v>1021202.3417662248</v>
      </c>
      <c r="V26" s="185">
        <f t="shared" ca="1" si="13"/>
        <v>-38101.19816374057</v>
      </c>
      <c r="W26" s="145" t="str">
        <f t="shared" si="14"/>
        <v>OKT.009</v>
      </c>
    </row>
    <row r="27" spans="1:23">
      <c r="A27" s="193" t="s">
        <v>226</v>
      </c>
      <c r="B27" s="153" t="s">
        <v>182</v>
      </c>
      <c r="C27" s="177" t="str">
        <f t="shared" ca="1" si="0"/>
        <v>Wapanucka Customer Connection</v>
      </c>
      <c r="D27" s="178">
        <f t="shared" ca="1" si="0"/>
        <v>2013</v>
      </c>
      <c r="E27" s="646">
        <f t="shared" ca="1" si="0"/>
        <v>875617.10069768119</v>
      </c>
      <c r="F27" s="646">
        <f t="shared" ca="1" si="0"/>
        <v>0</v>
      </c>
      <c r="G27" s="188">
        <f t="shared" ca="1" si="9"/>
        <v>875617.10069768119</v>
      </c>
      <c r="H27" s="189"/>
      <c r="I27" s="179">
        <f t="shared" ca="1" si="2"/>
        <v>55448.571300727897</v>
      </c>
      <c r="J27" s="182">
        <v>804101.98589860392</v>
      </c>
      <c r="K27" s="182">
        <v>878489.91881062975</v>
      </c>
      <c r="L27" s="187">
        <f t="shared" si="10"/>
        <v>-74387.932912025834</v>
      </c>
      <c r="M27" s="187"/>
      <c r="N27" s="188">
        <v>0</v>
      </c>
      <c r="O27" s="188">
        <v>0</v>
      </c>
      <c r="P27" s="180"/>
      <c r="Q27" s="190">
        <f t="shared" ca="1" si="7"/>
        <v>-1308.0295560347408</v>
      </c>
      <c r="R27" s="191">
        <f t="shared" ca="1" si="11"/>
        <v>-20247.391167332677</v>
      </c>
      <c r="S27" s="191"/>
      <c r="T27" s="192">
        <f t="shared" ca="1" si="12"/>
        <v>855369.70953034854</v>
      </c>
      <c r="V27" s="185">
        <f t="shared" ca="1" si="13"/>
        <v>-18939.361611297936</v>
      </c>
      <c r="W27" s="145" t="str">
        <f t="shared" si="14"/>
        <v>OKT.010</v>
      </c>
    </row>
    <row r="28" spans="1:23">
      <c r="A28" s="193" t="s">
        <v>227</v>
      </c>
      <c r="B28" s="153" t="s">
        <v>182</v>
      </c>
      <c r="C28" s="177" t="str">
        <f t="shared" ca="1" si="0"/>
        <v>Grady Customer Connection</v>
      </c>
      <c r="D28" s="178">
        <f t="shared" ca="1" si="0"/>
        <v>2014</v>
      </c>
      <c r="E28" s="646">
        <f t="shared" ca="1" si="0"/>
        <v>2497588.3440501089</v>
      </c>
      <c r="F28" s="646">
        <f t="shared" ca="1" si="0"/>
        <v>0</v>
      </c>
      <c r="G28" s="188">
        <f t="shared" ca="1" si="9"/>
        <v>2497588.3440501089</v>
      </c>
      <c r="H28" s="189"/>
      <c r="I28" s="179">
        <f t="shared" ca="1" si="2"/>
        <v>119450.18536766805</v>
      </c>
      <c r="J28" s="182">
        <v>2251538.7613085252</v>
      </c>
      <c r="K28" s="182">
        <v>2459829.895097821</v>
      </c>
      <c r="L28" s="187">
        <f t="shared" si="10"/>
        <v>-208291.1337892958</v>
      </c>
      <c r="M28" s="187"/>
      <c r="N28" s="188">
        <v>0</v>
      </c>
      <c r="O28" s="188">
        <v>0</v>
      </c>
      <c r="P28" s="180"/>
      <c r="Q28" s="190">
        <f t="shared" ca="1" si="7"/>
        <v>-6135.718230984412</v>
      </c>
      <c r="R28" s="191">
        <f t="shared" ca="1" si="11"/>
        <v>-94976.666652612155</v>
      </c>
      <c r="S28" s="191"/>
      <c r="T28" s="192">
        <f t="shared" ca="1" si="12"/>
        <v>2402611.677397497</v>
      </c>
      <c r="V28" s="185">
        <f t="shared" ca="1" si="13"/>
        <v>-88840.948421627749</v>
      </c>
      <c r="W28" s="145" t="str">
        <f t="shared" si="14"/>
        <v>OKT.011</v>
      </c>
    </row>
    <row r="29" spans="1:23">
      <c r="A29" s="193" t="s">
        <v>228</v>
      </c>
      <c r="B29" s="153" t="s">
        <v>182</v>
      </c>
      <c r="C29" s="177" t="str">
        <f t="shared" ca="1" si="0"/>
        <v>Darlington-Red Rock 138 kV line</v>
      </c>
      <c r="D29" s="178">
        <f t="shared" ca="1" si="0"/>
        <v>2014</v>
      </c>
      <c r="E29" s="646">
        <f t="shared" ca="1" si="0"/>
        <v>1602683.1037737736</v>
      </c>
      <c r="F29" s="646">
        <f t="shared" ca="1" si="0"/>
        <v>0</v>
      </c>
      <c r="G29" s="188">
        <f t="shared" ca="1" si="9"/>
        <v>1602683.1037737736</v>
      </c>
      <c r="H29" s="189"/>
      <c r="I29" s="179">
        <f t="shared" ca="1" si="2"/>
        <v>145180.88782103336</v>
      </c>
      <c r="J29" s="182">
        <v>1478895.0439397926</v>
      </c>
      <c r="K29" s="182">
        <v>1615708.4671644345</v>
      </c>
      <c r="L29" s="187">
        <f t="shared" si="10"/>
        <v>-136813.42322464194</v>
      </c>
      <c r="M29" s="187"/>
      <c r="N29" s="188">
        <v>0</v>
      </c>
      <c r="O29" s="188">
        <v>0</v>
      </c>
      <c r="P29" s="180"/>
      <c r="Q29" s="190">
        <f t="shared" ca="1" si="7"/>
        <v>577.89123127705147</v>
      </c>
      <c r="R29" s="191">
        <f t="shared" ca="1" si="11"/>
        <v>8945.3558276684744</v>
      </c>
      <c r="S29" s="191"/>
      <c r="T29" s="192">
        <f t="shared" ca="1" si="12"/>
        <v>1611628.4596014421</v>
      </c>
      <c r="V29" s="185">
        <f t="shared" ca="1" si="13"/>
        <v>8367.4645963914227</v>
      </c>
      <c r="W29" s="145" t="str">
        <f t="shared" si="14"/>
        <v>OKT.012</v>
      </c>
    </row>
    <row r="30" spans="1:23">
      <c r="A30" s="193" t="s">
        <v>233</v>
      </c>
      <c r="B30" s="153" t="s">
        <v>182</v>
      </c>
      <c r="C30" s="177" t="str">
        <f t="shared" ca="1" si="0"/>
        <v>Ellis 138 kV</v>
      </c>
      <c r="D30" s="178">
        <f t="shared" ca="1" si="0"/>
        <v>2013</v>
      </c>
      <c r="E30" s="646">
        <f t="shared" ca="1" si="0"/>
        <v>0</v>
      </c>
      <c r="F30" s="646">
        <f t="shared" ca="1" si="0"/>
        <v>0</v>
      </c>
      <c r="G30" s="188">
        <f t="shared" ca="1" si="9"/>
        <v>0</v>
      </c>
      <c r="H30" s="189"/>
      <c r="I30" s="179">
        <f t="shared" ca="1" si="2"/>
        <v>0</v>
      </c>
      <c r="J30" s="182">
        <v>651312.9535692014</v>
      </c>
      <c r="K30" s="182">
        <v>711566.28603758872</v>
      </c>
      <c r="L30" s="187">
        <f t="shared" si="10"/>
        <v>-60253.332468387322</v>
      </c>
      <c r="M30" s="187"/>
      <c r="N30" s="188">
        <v>0</v>
      </c>
      <c r="O30" s="188">
        <v>0</v>
      </c>
      <c r="P30" s="180"/>
      <c r="Q30" s="190">
        <f t="shared" ca="1" si="7"/>
        <v>-4161.3408802133936</v>
      </c>
      <c r="R30" s="191">
        <f t="shared" ca="1" si="11"/>
        <v>-64414.673348600714</v>
      </c>
      <c r="S30" s="191"/>
      <c r="T30" s="192">
        <f t="shared" ca="1" si="12"/>
        <v>-64414.673348600714</v>
      </c>
      <c r="V30" s="185">
        <f t="shared" ca="1" si="13"/>
        <v>-60253.332468387322</v>
      </c>
      <c r="W30" s="145" t="str">
        <f t="shared" si="14"/>
        <v>OKT.013</v>
      </c>
    </row>
    <row r="31" spans="1:23">
      <c r="A31" s="193" t="s">
        <v>236</v>
      </c>
      <c r="B31" s="153" t="s">
        <v>182</v>
      </c>
      <c r="C31" s="177" t="str">
        <f t="shared" ca="1" si="0"/>
        <v>Valliant-NW Texarkana 345 kV</v>
      </c>
      <c r="D31" s="178">
        <f t="shared" ca="1" si="0"/>
        <v>2016</v>
      </c>
      <c r="E31" s="646">
        <f t="shared" ca="1" si="0"/>
        <v>8708948.961934343</v>
      </c>
      <c r="F31" s="646">
        <f t="shared" ca="1" si="0"/>
        <v>0</v>
      </c>
      <c r="G31" s="188">
        <f t="shared" ref="G31:G37" ca="1" si="15">+E31+F31</f>
        <v>8708948.961934343</v>
      </c>
      <c r="H31" s="189"/>
      <c r="I31" s="179">
        <f t="shared" ca="1" si="2"/>
        <v>252884.0262324214</v>
      </c>
      <c r="J31" s="182">
        <v>7417467.0835575005</v>
      </c>
      <c r="K31" s="182">
        <v>8103661.1901075775</v>
      </c>
      <c r="L31" s="187">
        <f t="shared" ref="L31:L40" si="16">+J31-K31</f>
        <v>-686194.10655007698</v>
      </c>
      <c r="M31" s="187"/>
      <c r="N31" s="188">
        <v>0</v>
      </c>
      <c r="O31" s="188">
        <v>0</v>
      </c>
      <c r="P31" s="180"/>
      <c r="Q31" s="190">
        <f t="shared" ca="1" si="7"/>
        <v>-29926.161378384426</v>
      </c>
      <c r="R31" s="191">
        <f t="shared" ref="R31:R40" ca="1" si="17">I31+L31+P31+Q31</f>
        <v>-463236.24169604003</v>
      </c>
      <c r="S31" s="191"/>
      <c r="T31" s="192">
        <f t="shared" ref="T31:T40" ca="1" si="18">+G31+R31</f>
        <v>8245712.7202383028</v>
      </c>
      <c r="V31" s="185">
        <f t="shared" ref="V31:V40" ca="1" si="19">+I31+L31+P31</f>
        <v>-433310.08031765558</v>
      </c>
      <c r="W31" s="145" t="str">
        <f t="shared" ref="W31:W40" si="20">A31</f>
        <v>OKT.014</v>
      </c>
    </row>
    <row r="32" spans="1:23">
      <c r="A32" s="193" t="s">
        <v>239</v>
      </c>
      <c r="B32" s="153" t="s">
        <v>182</v>
      </c>
      <c r="C32" s="177" t="str">
        <f t="shared" ca="1" si="0"/>
        <v>Darlington Roman Nose 138 kv</v>
      </c>
      <c r="D32" s="178">
        <f t="shared" ca="1" si="0"/>
        <v>2017</v>
      </c>
      <c r="E32" s="646">
        <f t="shared" ca="1" si="0"/>
        <v>1428596.2821515901</v>
      </c>
      <c r="F32" s="646">
        <f t="shared" ca="1" si="0"/>
        <v>0</v>
      </c>
      <c r="G32" s="188">
        <f t="shared" ca="1" si="15"/>
        <v>1428596.2821515901</v>
      </c>
      <c r="H32" s="189"/>
      <c r="I32" s="179">
        <f t="shared" ca="1" si="2"/>
        <v>69083.156971222954</v>
      </c>
      <c r="J32" s="182">
        <v>1372504.9243993366</v>
      </c>
      <c r="K32" s="182">
        <v>1499476.1370416558</v>
      </c>
      <c r="L32" s="187">
        <f t="shared" si="16"/>
        <v>-126971.21264231927</v>
      </c>
      <c r="M32" s="187"/>
      <c r="N32" s="188">
        <v>0</v>
      </c>
      <c r="O32" s="188">
        <v>0</v>
      </c>
      <c r="P32" s="180"/>
      <c r="Q32" s="190">
        <f t="shared" ca="1" si="7"/>
        <v>-3997.9852179394206</v>
      </c>
      <c r="R32" s="191">
        <f t="shared" ca="1" si="17"/>
        <v>-61886.040889035736</v>
      </c>
      <c r="S32" s="191"/>
      <c r="T32" s="192">
        <f t="shared" ca="1" si="18"/>
        <v>1366710.2412625544</v>
      </c>
      <c r="V32" s="185">
        <f t="shared" ca="1" si="19"/>
        <v>-57888.055671096314</v>
      </c>
      <c r="W32" s="145" t="str">
        <f t="shared" si="20"/>
        <v>OKT.015</v>
      </c>
    </row>
    <row r="33" spans="1:23">
      <c r="A33" s="193" t="s">
        <v>248</v>
      </c>
      <c r="B33" s="153" t="s">
        <v>182</v>
      </c>
      <c r="C33" s="177" t="str">
        <f t="shared" ca="1" si="0"/>
        <v>Carnegie South-Southwestern 123 kv line rebuild</v>
      </c>
      <c r="D33" s="178">
        <f t="shared" ca="1" si="0"/>
        <v>2017</v>
      </c>
      <c r="E33" s="646">
        <f t="shared" ca="1" si="0"/>
        <v>1251677.6661612696</v>
      </c>
      <c r="F33" s="646">
        <f t="shared" ca="1" si="0"/>
        <v>0</v>
      </c>
      <c r="G33" s="188">
        <f t="shared" ca="1" si="15"/>
        <v>1251677.6661612696</v>
      </c>
      <c r="H33" s="189"/>
      <c r="I33" s="179">
        <f t="shared" ca="1" si="2"/>
        <v>59935.072704868624</v>
      </c>
      <c r="J33" s="182">
        <v>1248360.2087843758</v>
      </c>
      <c r="K33" s="182">
        <v>1363846.7230445265</v>
      </c>
      <c r="L33" s="187">
        <f t="shared" si="16"/>
        <v>-115486.51426015073</v>
      </c>
      <c r="M33" s="187"/>
      <c r="N33" s="188">
        <v>0</v>
      </c>
      <c r="O33" s="188">
        <v>0</v>
      </c>
      <c r="P33" s="180"/>
      <c r="Q33" s="190">
        <f t="shared" ca="1" si="7"/>
        <v>-3836.6091173474265</v>
      </c>
      <c r="R33" s="191">
        <f t="shared" ca="1" si="17"/>
        <v>-59388.050672629528</v>
      </c>
      <c r="S33" s="191"/>
      <c r="T33" s="192">
        <f t="shared" ca="1" si="18"/>
        <v>1192289.61548864</v>
      </c>
      <c r="V33" s="185">
        <f t="shared" ca="1" si="19"/>
        <v>-55551.441555282101</v>
      </c>
      <c r="W33" s="145" t="str">
        <f t="shared" si="20"/>
        <v>OKT.016</v>
      </c>
    </row>
    <row r="34" spans="1:23">
      <c r="A34" s="193" t="s">
        <v>249</v>
      </c>
      <c r="B34" s="153" t="s">
        <v>182</v>
      </c>
      <c r="C34" s="177" t="str">
        <f t="shared" ca="1" si="0"/>
        <v>Chisholm - Gracemont 345 kv line and station</v>
      </c>
      <c r="D34" s="178">
        <f t="shared" ca="1" si="0"/>
        <v>2017</v>
      </c>
      <c r="E34" s="646">
        <f t="shared" ca="1" si="0"/>
        <v>11430746.557201277</v>
      </c>
      <c r="F34" s="646">
        <f t="shared" ca="1" si="0"/>
        <v>0</v>
      </c>
      <c r="G34" s="188">
        <f t="shared" ca="1" si="15"/>
        <v>11430746.557201277</v>
      </c>
      <c r="H34" s="189"/>
      <c r="I34" s="179">
        <f t="shared" ca="1" si="2"/>
        <v>491336.10965928435</v>
      </c>
      <c r="J34" s="182">
        <v>11265025.980124004</v>
      </c>
      <c r="K34" s="182">
        <v>12307159.952626543</v>
      </c>
      <c r="L34" s="187">
        <f t="shared" si="16"/>
        <v>-1042133.9725025389</v>
      </c>
      <c r="M34" s="187"/>
      <c r="N34" s="188">
        <v>0</v>
      </c>
      <c r="O34" s="188">
        <v>0</v>
      </c>
      <c r="P34" s="180"/>
      <c r="Q34" s="190">
        <f t="shared" ca="1" si="7"/>
        <v>-38040.346807147347</v>
      </c>
      <c r="R34" s="191">
        <f t="shared" ca="1" si="17"/>
        <v>-588838.20965040196</v>
      </c>
      <c r="S34" s="191"/>
      <c r="T34" s="192">
        <f t="shared" ca="1" si="18"/>
        <v>10841908.347550876</v>
      </c>
      <c r="V34" s="185">
        <f t="shared" ca="1" si="19"/>
        <v>-550797.86284325458</v>
      </c>
      <c r="W34" s="145" t="str">
        <f t="shared" si="20"/>
        <v>OKT.017</v>
      </c>
    </row>
    <row r="35" spans="1:23">
      <c r="A35" s="193" t="s">
        <v>264</v>
      </c>
      <c r="B35" s="153" t="s">
        <v>182</v>
      </c>
      <c r="C35" s="177" t="str">
        <f t="shared" ca="1" si="0"/>
        <v>Fort Towson-Valliant 69 KV Line Rebuild</v>
      </c>
      <c r="D35" s="178">
        <f t="shared" ca="1" si="0"/>
        <v>2018</v>
      </c>
      <c r="E35" s="646">
        <f t="shared" ca="1" si="0"/>
        <v>2323095.2279110318</v>
      </c>
      <c r="F35" s="646">
        <f t="shared" ca="1" si="0"/>
        <v>0</v>
      </c>
      <c r="G35" s="188">
        <f t="shared" ca="1" si="15"/>
        <v>2323095.2279110318</v>
      </c>
      <c r="H35" s="189"/>
      <c r="I35" s="179">
        <f t="shared" ca="1" si="2"/>
        <v>238885.45962967863</v>
      </c>
      <c r="J35" s="182">
        <v>2007514.5813510963</v>
      </c>
      <c r="K35" s="182">
        <v>2193230.8992017149</v>
      </c>
      <c r="L35" s="187">
        <f t="shared" si="16"/>
        <v>-185716.31785061862</v>
      </c>
      <c r="M35" s="187"/>
      <c r="N35" s="188">
        <v>0</v>
      </c>
      <c r="O35" s="188">
        <v>0</v>
      </c>
      <c r="P35" s="180"/>
      <c r="Q35" s="190">
        <f t="shared" ca="1" si="7"/>
        <v>3672.0777787211769</v>
      </c>
      <c r="R35" s="191">
        <f t="shared" ca="1" si="17"/>
        <v>56841.219557781187</v>
      </c>
      <c r="S35" s="191"/>
      <c r="T35" s="192">
        <f t="shared" ca="1" si="18"/>
        <v>2379936.447468813</v>
      </c>
      <c r="V35" s="185">
        <f t="shared" ca="1" si="19"/>
        <v>53169.14177906001</v>
      </c>
      <c r="W35" s="145" t="str">
        <f t="shared" si="20"/>
        <v>OKT.018</v>
      </c>
    </row>
    <row r="36" spans="1:23">
      <c r="A36" s="193" t="s">
        <v>287</v>
      </c>
      <c r="B36" s="153" t="s">
        <v>182</v>
      </c>
      <c r="C36" s="177" t="str">
        <f t="shared" ca="1" si="0"/>
        <v>Duncan-Comanche Tap 69 KV Rebuild</v>
      </c>
      <c r="D36" s="178">
        <f t="shared" ca="1" si="0"/>
        <v>2018</v>
      </c>
      <c r="E36" s="646">
        <f t="shared" ca="1" si="0"/>
        <v>1188202.637458564</v>
      </c>
      <c r="F36" s="646">
        <f t="shared" ca="1" si="0"/>
        <v>0</v>
      </c>
      <c r="G36" s="188">
        <f t="shared" ca="1" si="15"/>
        <v>1188202.637458564</v>
      </c>
      <c r="H36" s="189"/>
      <c r="I36" s="179">
        <f ca="1">INDIRECT("'"&amp; $A36 &amp; "'!" &amp;I$49)</f>
        <v>81740.85242104996</v>
      </c>
      <c r="J36" s="182">
        <v>1057.1796049762052</v>
      </c>
      <c r="K36" s="182">
        <v>1154.9798926387809</v>
      </c>
      <c r="L36" s="187">
        <f t="shared" si="16"/>
        <v>-97.800287662575784</v>
      </c>
      <c r="M36" s="187"/>
      <c r="N36" s="188">
        <v>0</v>
      </c>
      <c r="O36" s="188">
        <v>0</v>
      </c>
      <c r="P36" s="180"/>
      <c r="Q36" s="190">
        <f ca="1">+V36/$V$42 * $Q$42</f>
        <v>5638.6021570891462</v>
      </c>
      <c r="R36" s="191">
        <f t="shared" ca="1" si="17"/>
        <v>87281.654290476537</v>
      </c>
      <c r="S36" s="191"/>
      <c r="T36" s="192">
        <f t="shared" ca="1" si="18"/>
        <v>1275484.2917490406</v>
      </c>
      <c r="V36" s="185">
        <f t="shared" ca="1" si="19"/>
        <v>81643.052133387391</v>
      </c>
      <c r="W36" s="145" t="str">
        <f t="shared" si="20"/>
        <v>OKT.019</v>
      </c>
    </row>
    <row r="37" spans="1:23">
      <c r="A37" s="193" t="s">
        <v>290</v>
      </c>
      <c r="B37" s="153" t="s">
        <v>182</v>
      </c>
      <c r="C37" s="177" t="str">
        <f t="shared" ca="1" si="0"/>
        <v>Keystone Dam - Wekiwa 138 kV</v>
      </c>
      <c r="D37" s="178">
        <f t="shared" ca="1" si="0"/>
        <v>2020</v>
      </c>
      <c r="E37" s="646">
        <f t="shared" ca="1" si="0"/>
        <v>496616.13885375595</v>
      </c>
      <c r="F37" s="646">
        <f t="shared" ca="1" si="0"/>
        <v>0</v>
      </c>
      <c r="G37" s="188">
        <f t="shared" ca="1" si="15"/>
        <v>496616.13885375595</v>
      </c>
      <c r="H37" s="189"/>
      <c r="I37" s="179">
        <f t="shared" ca="1" si="2"/>
        <v>4623.0790856612439</v>
      </c>
      <c r="J37" s="182">
        <v>235038.97436975082</v>
      </c>
      <c r="K37" s="182">
        <v>256782.56381952629</v>
      </c>
      <c r="L37" s="187">
        <f t="shared" si="16"/>
        <v>-21743.589449775463</v>
      </c>
      <c r="M37" s="187"/>
      <c r="N37" s="188">
        <v>0</v>
      </c>
      <c r="O37" s="188">
        <v>0</v>
      </c>
      <c r="P37" s="180"/>
      <c r="Q37" s="190">
        <f ca="1">+V37/$V$42 * $Q$42</f>
        <v>-1182.4122708181296</v>
      </c>
      <c r="R37" s="191">
        <f t="shared" ca="1" si="17"/>
        <v>-18302.922634932351</v>
      </c>
      <c r="S37" s="191"/>
      <c r="T37" s="192">
        <f t="shared" ca="1" si="18"/>
        <v>478313.21621882363</v>
      </c>
      <c r="V37" s="185">
        <f t="shared" ca="1" si="19"/>
        <v>-17120.51036411422</v>
      </c>
      <c r="W37" s="145" t="str">
        <f t="shared" si="20"/>
        <v>OKT.020</v>
      </c>
    </row>
    <row r="38" spans="1:23">
      <c r="A38" s="193" t="s">
        <v>313</v>
      </c>
      <c r="B38" s="153" t="s">
        <v>182</v>
      </c>
      <c r="C38" s="177" t="str">
        <f t="shared" ca="1" si="0"/>
        <v>Tulsa SE - S Hudson 138 kV</v>
      </c>
      <c r="D38" s="178">
        <f t="shared" ca="1" si="0"/>
        <v>2022</v>
      </c>
      <c r="E38" s="646">
        <f t="shared" ca="1" si="0"/>
        <v>131587.24825136422</v>
      </c>
      <c r="F38" s="646">
        <f t="shared" ca="1" si="0"/>
        <v>0</v>
      </c>
      <c r="G38" s="188">
        <f t="shared" ref="G38:G40" ca="1" si="21">+E38+F38</f>
        <v>131587.24825136422</v>
      </c>
      <c r="H38" s="189"/>
      <c r="I38" s="179">
        <f t="shared" ca="1" si="2"/>
        <v>0</v>
      </c>
      <c r="J38" s="182"/>
      <c r="K38" s="182"/>
      <c r="L38" s="187">
        <f t="shared" si="16"/>
        <v>0</v>
      </c>
      <c r="M38" s="187"/>
      <c r="N38" s="188">
        <v>0</v>
      </c>
      <c r="O38" s="188">
        <v>0</v>
      </c>
      <c r="P38" s="180"/>
      <c r="Q38" s="190">
        <f ca="1">+V38/$V$42 * $Q$42</f>
        <v>0</v>
      </c>
      <c r="R38" s="191">
        <f t="shared" ca="1" si="17"/>
        <v>0</v>
      </c>
      <c r="S38" s="191"/>
      <c r="T38" s="192">
        <f t="shared" ca="1" si="18"/>
        <v>131587.24825136422</v>
      </c>
      <c r="V38" s="185">
        <f t="shared" ca="1" si="19"/>
        <v>0</v>
      </c>
      <c r="W38" s="145" t="str">
        <f t="shared" si="20"/>
        <v>OKT.021</v>
      </c>
    </row>
    <row r="39" spans="1:23">
      <c r="A39" s="193" t="s">
        <v>314</v>
      </c>
      <c r="B39" s="153" t="s">
        <v>182</v>
      </c>
      <c r="C39" s="177" t="str">
        <f t="shared" ca="1" si="0"/>
        <v>Pryor Junction 138/115 kV</v>
      </c>
      <c r="D39" s="178">
        <f t="shared" ca="1" si="0"/>
        <v>2022</v>
      </c>
      <c r="E39" s="646">
        <f t="shared" ca="1" si="0"/>
        <v>375963.61969540955</v>
      </c>
      <c r="F39" s="646">
        <f t="shared" ca="1" si="0"/>
        <v>0</v>
      </c>
      <c r="G39" s="188">
        <f t="shared" ca="1" si="21"/>
        <v>375963.61969540955</v>
      </c>
      <c r="H39" s="189"/>
      <c r="I39" s="179">
        <f t="shared" ca="1" si="2"/>
        <v>0</v>
      </c>
      <c r="J39" s="182"/>
      <c r="K39" s="182"/>
      <c r="L39" s="187">
        <f t="shared" si="16"/>
        <v>0</v>
      </c>
      <c r="M39" s="187"/>
      <c r="N39" s="188">
        <v>0</v>
      </c>
      <c r="O39" s="188">
        <v>0</v>
      </c>
      <c r="P39" s="180"/>
      <c r="Q39" s="190">
        <f ca="1">+V39/$V$42 * $Q$42</f>
        <v>0</v>
      </c>
      <c r="R39" s="191">
        <f t="shared" ca="1" si="17"/>
        <v>0</v>
      </c>
      <c r="S39" s="191"/>
      <c r="T39" s="192">
        <f t="shared" ca="1" si="18"/>
        <v>375963.61969540955</v>
      </c>
      <c r="V39" s="185">
        <f t="shared" ca="1" si="19"/>
        <v>0</v>
      </c>
      <c r="W39" s="145" t="str">
        <f t="shared" si="20"/>
        <v>OKT.022</v>
      </c>
    </row>
    <row r="40" spans="1:23">
      <c r="A40" s="193" t="s">
        <v>315</v>
      </c>
      <c r="B40" s="153" t="s">
        <v>182</v>
      </c>
      <c r="C40" s="177" t="str">
        <f t="shared" ca="1" si="0"/>
        <v>Grady Cap Bank 138 kV</v>
      </c>
      <c r="D40" s="178">
        <f t="shared" ca="1" si="0"/>
        <v>2022</v>
      </c>
      <c r="E40" s="646">
        <f t="shared" ca="1" si="0"/>
        <v>54888.662520160804</v>
      </c>
      <c r="F40" s="646">
        <f t="shared" ca="1" si="0"/>
        <v>0</v>
      </c>
      <c r="G40" s="188">
        <f t="shared" ca="1" si="21"/>
        <v>54888.662520160804</v>
      </c>
      <c r="H40" s="189"/>
      <c r="I40" s="179">
        <f t="shared" ca="1" si="2"/>
        <v>0</v>
      </c>
      <c r="J40" s="182"/>
      <c r="K40" s="182"/>
      <c r="L40" s="187">
        <f t="shared" si="16"/>
        <v>0</v>
      </c>
      <c r="M40" s="187"/>
      <c r="N40" s="188">
        <v>0</v>
      </c>
      <c r="O40" s="188">
        <v>0</v>
      </c>
      <c r="P40" s="180"/>
      <c r="Q40" s="190">
        <f ca="1">+V40/$V$42 * $Q$42</f>
        <v>0</v>
      </c>
      <c r="R40" s="191">
        <f t="shared" ca="1" si="17"/>
        <v>0</v>
      </c>
      <c r="S40" s="191"/>
      <c r="T40" s="192">
        <f t="shared" ca="1" si="18"/>
        <v>54888.662520160804</v>
      </c>
      <c r="V40" s="185">
        <f t="shared" ca="1" si="19"/>
        <v>0</v>
      </c>
      <c r="W40" s="145" t="str">
        <f t="shared" si="20"/>
        <v>OKT.023</v>
      </c>
    </row>
    <row r="41" spans="1:23">
      <c r="A41" s="156"/>
      <c r="B41" s="156"/>
      <c r="C41" s="156"/>
      <c r="D41" s="153"/>
      <c r="E41" s="191"/>
      <c r="F41" s="191"/>
      <c r="G41" s="191"/>
      <c r="H41" s="183"/>
      <c r="I41" s="191"/>
      <c r="J41" s="191"/>
      <c r="K41" s="194"/>
      <c r="L41" s="191"/>
      <c r="M41" s="191"/>
      <c r="N41" s="191"/>
      <c r="O41" s="191"/>
      <c r="P41" s="191"/>
      <c r="Q41" s="191"/>
      <c r="R41" s="191"/>
      <c r="S41" s="183"/>
      <c r="T41" s="192"/>
      <c r="V41" s="176"/>
    </row>
    <row r="42" spans="1:23">
      <c r="A42" s="156"/>
      <c r="B42" s="156"/>
      <c r="C42" s="195" t="s">
        <v>183</v>
      </c>
      <c r="D42" s="196"/>
      <c r="E42" s="197">
        <f ca="1">SUM(E18:E41)</f>
        <v>39969241.151666239</v>
      </c>
      <c r="F42" s="197">
        <f ca="1">SUM(F18:F41)</f>
        <v>0</v>
      </c>
      <c r="G42" s="197">
        <f ca="1">SUM(G18:G41)</f>
        <v>39969241.151666239</v>
      </c>
      <c r="H42" s="197"/>
      <c r="I42" s="197">
        <f ca="1">SUM(I18:I41)</f>
        <v>1875167.1842888009</v>
      </c>
      <c r="J42" s="197">
        <f>SUM(J18:J41)</f>
        <v>35586754.935261324</v>
      </c>
      <c r="K42" s="645">
        <v>38878905.912506565</v>
      </c>
      <c r="L42" s="197">
        <f>SUM(L18:L41)</f>
        <v>-3292150.9772452358</v>
      </c>
      <c r="M42" s="197"/>
      <c r="N42" s="197">
        <f>SUM(N18:N41)</f>
        <v>0</v>
      </c>
      <c r="O42" s="197">
        <f>SUM(O18:O41)</f>
        <v>0</v>
      </c>
      <c r="P42" s="197">
        <f>SUM(P18:P41)</f>
        <v>0</v>
      </c>
      <c r="Q42" s="198">
        <v>-97862.679833072238</v>
      </c>
      <c r="R42" s="197">
        <f ca="1">SUM(R18:R41)</f>
        <v>-1514846.4727895074</v>
      </c>
      <c r="S42" s="197"/>
      <c r="T42" s="197">
        <f ca="1">SUM(T18:T41)</f>
        <v>38454394.67887672</v>
      </c>
      <c r="V42" s="199">
        <f ca="1">SUM(V18:V41)</f>
        <v>-1416983.7929564351</v>
      </c>
      <c r="W42" s="200" t="s">
        <v>180</v>
      </c>
    </row>
    <row r="43" spans="1:23" ht="13.5" thickBot="1">
      <c r="A43" s="156"/>
      <c r="B43" s="156"/>
      <c r="C43" s="201"/>
      <c r="D43" s="156"/>
      <c r="E43" s="202"/>
      <c r="F43" s="203" t="str">
        <f ca="1">IF(F42=OKT.WS.F.BPU.ATRR.Projected!O19,"","Error")</f>
        <v/>
      </c>
      <c r="G43" s="204"/>
      <c r="H43" s="156"/>
      <c r="J43" s="205"/>
      <c r="K43" s="206"/>
      <c r="L43" s="206"/>
      <c r="M43" s="206"/>
      <c r="N43" s="206"/>
      <c r="O43" s="206"/>
      <c r="P43" s="206"/>
      <c r="Q43" s="206"/>
      <c r="R43" s="183"/>
      <c r="S43" s="183"/>
      <c r="T43" s="183"/>
      <c r="V43" s="207"/>
      <c r="W43" s="200"/>
    </row>
    <row r="44" spans="1:23">
      <c r="A44" s="156"/>
      <c r="B44" s="156"/>
      <c r="C44" s="208" t="s">
        <v>212</v>
      </c>
      <c r="D44" s="156"/>
      <c r="E44" s="183"/>
      <c r="F44" s="183"/>
      <c r="G44" s="183"/>
      <c r="H44" s="156"/>
      <c r="I44" s="209"/>
      <c r="J44" s="209"/>
      <c r="K44" s="156" t="s">
        <v>288</v>
      </c>
      <c r="L44" s="156"/>
      <c r="M44" s="156"/>
      <c r="N44" s="206"/>
      <c r="O44" s="206"/>
      <c r="P44" s="206"/>
      <c r="Q44" s="206"/>
      <c r="R44" s="183"/>
      <c r="S44" s="183"/>
      <c r="T44" s="183"/>
    </row>
    <row r="45" spans="1:23">
      <c r="A45" s="156"/>
      <c r="B45" s="156"/>
      <c r="C45" s="210" t="s">
        <v>157</v>
      </c>
      <c r="D45" s="156"/>
      <c r="E45" s="183"/>
      <c r="F45" s="183"/>
      <c r="G45" s="183"/>
      <c r="H45" s="156"/>
      <c r="J45" s="211"/>
      <c r="L45" s="156"/>
      <c r="M45" s="156"/>
      <c r="N45" s="206"/>
      <c r="O45" s="206"/>
      <c r="P45" s="206"/>
      <c r="Q45" s="206"/>
      <c r="R45" s="206"/>
      <c r="S45" s="156"/>
      <c r="T45" s="156"/>
    </row>
    <row r="46" spans="1:23">
      <c r="E46" s="212"/>
      <c r="F46" s="212"/>
      <c r="G46" s="212"/>
      <c r="I46" s="212"/>
      <c r="J46" s="213"/>
      <c r="N46" s="214"/>
      <c r="O46" s="214"/>
      <c r="P46" s="214"/>
      <c r="Q46" s="214"/>
      <c r="R46" s="214"/>
    </row>
    <row r="47" spans="1:23">
      <c r="E47" s="212"/>
      <c r="F47" s="212"/>
      <c r="G47" s="212"/>
    </row>
    <row r="48" spans="1:23">
      <c r="A48" s="215" t="s">
        <v>158</v>
      </c>
      <c r="B48" s="216"/>
      <c r="C48" s="216"/>
      <c r="D48" s="216"/>
      <c r="E48" s="217"/>
      <c r="F48" s="217"/>
      <c r="G48" s="217"/>
      <c r="H48" s="216"/>
      <c r="I48" s="216"/>
      <c r="J48" s="216"/>
      <c r="K48" s="216"/>
      <c r="L48" s="216"/>
      <c r="M48" s="216"/>
      <c r="N48" s="216"/>
      <c r="O48" s="218"/>
      <c r="V48" s="145" t="s">
        <v>171</v>
      </c>
    </row>
    <row r="49" spans="1:22" ht="15.75">
      <c r="A49" s="219" t="s">
        <v>161</v>
      </c>
      <c r="B49" s="220"/>
      <c r="C49" s="221" t="str">
        <f ca="1">RIGHT(CELL("address",OKT.001!D7),4)</f>
        <v>$D$7</v>
      </c>
      <c r="D49" s="221" t="str">
        <f ca="1">RIGHT(CELL("address",OKT.001!D11),4)</f>
        <v>D$11</v>
      </c>
      <c r="E49" s="221" t="str">
        <f ca="1">RIGHT(CELL("address",OKT.001!N5),4)</f>
        <v>$N$5</v>
      </c>
      <c r="F49" s="221" t="str">
        <f ca="1">RIGHT(CELL("address",OKT.001!N7),4)</f>
        <v>$N$7</v>
      </c>
      <c r="G49" s="220"/>
      <c r="H49" s="222"/>
      <c r="I49" s="221" t="str">
        <f ca="1">RIGHT(CELL("address",OKT.001!M90),4)</f>
        <v>M$90</v>
      </c>
      <c r="J49" s="221"/>
      <c r="K49" s="220"/>
      <c r="L49" s="220"/>
      <c r="M49" s="220"/>
      <c r="N49" s="221" t="str">
        <f ca="1">RIGHT(CELL("address",OKT.001!N88),4)</f>
        <v>N$88</v>
      </c>
      <c r="O49" s="223" t="str">
        <f ca="1">RIGHT(CELL("address",OKT.001!N89),4)</f>
        <v>N$89</v>
      </c>
      <c r="P49" s="175" t="s">
        <v>160</v>
      </c>
      <c r="V49" s="145" t="s">
        <v>172</v>
      </c>
    </row>
    <row r="50" spans="1:22">
      <c r="A50" s="224" t="s">
        <v>162</v>
      </c>
      <c r="B50" s="225"/>
      <c r="C50" s="225"/>
      <c r="D50" s="225"/>
      <c r="E50" s="226"/>
      <c r="F50" s="226"/>
      <c r="G50" s="226"/>
      <c r="H50" s="225"/>
      <c r="I50" s="225"/>
      <c r="J50" s="225"/>
      <c r="K50" s="225"/>
      <c r="L50" s="225"/>
      <c r="M50" s="225"/>
      <c r="N50" s="225"/>
      <c r="O50" s="227"/>
      <c r="V50" s="145" t="s">
        <v>173</v>
      </c>
    </row>
    <row r="51" spans="1:22">
      <c r="E51" s="212"/>
      <c r="F51" s="212"/>
      <c r="G51" s="212"/>
      <c r="V51" s="145" t="s">
        <v>174</v>
      </c>
    </row>
    <row r="52" spans="1:22">
      <c r="E52" s="212"/>
      <c r="F52" s="212"/>
      <c r="G52" s="212"/>
      <c r="V52" s="145" t="s">
        <v>175</v>
      </c>
    </row>
    <row r="57" spans="1:22" ht="12.75" customHeight="1">
      <c r="G57" s="157"/>
      <c r="I57" s="228"/>
      <c r="J57" s="228"/>
    </row>
    <row r="58" spans="1:22" ht="12.75" customHeight="1">
      <c r="E58" s="229"/>
      <c r="F58" s="229"/>
      <c r="G58" s="230"/>
      <c r="I58" s="229"/>
      <c r="J58" s="231"/>
    </row>
    <row r="59" spans="1:22" ht="12.75" customHeight="1">
      <c r="E59" s="229"/>
      <c r="F59" s="229"/>
      <c r="G59" s="230"/>
      <c r="I59" s="229"/>
      <c r="J59" s="231"/>
    </row>
    <row r="60" spans="1:22" ht="12.75" customHeight="1">
      <c r="E60" s="229"/>
      <c r="F60" s="229"/>
      <c r="G60" s="230"/>
      <c r="I60" s="229"/>
      <c r="J60" s="231"/>
    </row>
    <row r="61" spans="1:22" ht="12.75" customHeight="1">
      <c r="E61" s="229"/>
      <c r="F61" s="229"/>
      <c r="G61" s="230"/>
      <c r="I61" s="229"/>
      <c r="J61" s="231"/>
    </row>
    <row r="62" spans="1:22" ht="12.75" customHeight="1">
      <c r="E62" s="229"/>
      <c r="F62" s="229"/>
      <c r="G62" s="230"/>
      <c r="I62" s="229"/>
      <c r="J62" s="231"/>
    </row>
    <row r="63" spans="1:22" ht="12.75" customHeight="1">
      <c r="E63" s="229"/>
      <c r="F63" s="229"/>
      <c r="G63" s="230"/>
      <c r="I63" s="229"/>
      <c r="J63" s="231"/>
    </row>
    <row r="64" spans="1:22" ht="12.75" customHeight="1">
      <c r="E64" s="229"/>
      <c r="F64" s="229"/>
      <c r="G64" s="230"/>
      <c r="I64" s="229"/>
      <c r="J64" s="231"/>
    </row>
    <row r="65" spans="5:10" ht="12.75" customHeight="1">
      <c r="E65" s="229"/>
      <c r="F65" s="229"/>
      <c r="G65" s="230"/>
      <c r="I65" s="229"/>
      <c r="J65" s="231"/>
    </row>
    <row r="66" spans="5:10" ht="12.75" customHeight="1">
      <c r="E66" s="229"/>
      <c r="F66" s="229"/>
      <c r="G66" s="230"/>
      <c r="I66" s="229"/>
      <c r="J66" s="231"/>
    </row>
    <row r="67" spans="5:10" ht="12.75" customHeight="1">
      <c r="E67" s="229"/>
      <c r="F67" s="229"/>
      <c r="G67" s="230"/>
      <c r="I67" s="229"/>
      <c r="J67" s="231"/>
    </row>
    <row r="68" spans="5:10" ht="12.75" customHeight="1">
      <c r="E68" s="229"/>
      <c r="F68" s="229"/>
      <c r="G68" s="230"/>
      <c r="I68" s="229"/>
      <c r="J68" s="231"/>
    </row>
    <row r="69" spans="5:10" ht="12.75" customHeight="1">
      <c r="E69" s="229"/>
      <c r="F69" s="229"/>
      <c r="G69" s="230"/>
      <c r="I69" s="229"/>
      <c r="J69" s="231"/>
    </row>
    <row r="70" spans="5:10" ht="12.75" customHeight="1">
      <c r="E70" s="229"/>
      <c r="F70" s="229"/>
      <c r="G70" s="230"/>
      <c r="I70" s="229"/>
      <c r="J70" s="231"/>
    </row>
    <row r="71" spans="5:10" ht="12.75" customHeight="1">
      <c r="E71" s="229"/>
      <c r="F71" s="229"/>
      <c r="G71" s="230"/>
      <c r="I71" s="229"/>
      <c r="J71" s="231"/>
    </row>
    <row r="72" spans="5:10" ht="12.75" customHeight="1">
      <c r="E72" s="229"/>
      <c r="F72" s="229"/>
      <c r="G72" s="230"/>
      <c r="I72" s="229"/>
      <c r="J72" s="231"/>
    </row>
    <row r="73" spans="5:10" ht="12.75" customHeight="1">
      <c r="E73" s="229"/>
      <c r="F73" s="229"/>
      <c r="G73" s="230"/>
      <c r="I73" s="229"/>
      <c r="J73" s="231"/>
    </row>
    <row r="74" spans="5:10" ht="12.75" customHeight="1">
      <c r="E74" s="229"/>
      <c r="F74" s="229"/>
      <c r="G74" s="230"/>
      <c r="I74" s="229"/>
      <c r="J74" s="231"/>
    </row>
    <row r="75" spans="5:10" ht="12.75" customHeight="1">
      <c r="E75" s="229"/>
      <c r="F75" s="229"/>
      <c r="G75" s="230"/>
      <c r="I75" s="229"/>
      <c r="J75" s="231"/>
    </row>
    <row r="76" spans="5:10" ht="12.75" customHeight="1">
      <c r="E76" s="229"/>
      <c r="F76" s="229"/>
      <c r="G76" s="230"/>
      <c r="I76" s="229"/>
      <c r="J76" s="231"/>
    </row>
    <row r="77" spans="5:10" ht="12.75" customHeight="1">
      <c r="E77" s="229"/>
      <c r="F77" s="229"/>
      <c r="I77" s="229"/>
      <c r="J77" s="231"/>
    </row>
    <row r="78" spans="5:10" ht="12.75" customHeight="1">
      <c r="E78" s="229"/>
      <c r="F78" s="229"/>
      <c r="G78" s="230"/>
      <c r="I78" s="229"/>
      <c r="J78" s="231"/>
    </row>
  </sheetData>
  <mergeCells count="2">
    <mergeCell ref="E13:G13"/>
    <mergeCell ref="T14:T16"/>
  </mergeCells>
  <phoneticPr fontId="62" type="noConversion"/>
  <pageMargins left="0.5" right="0.5" top="1" bottom="1" header="0.65" footer="0.5"/>
  <pageSetup scale="52" orientation="landscape" r:id="rId1"/>
  <headerFooter alignWithMargins="0">
    <oddHeader xml:space="preserve">&amp;R&amp;16AEPTCo - SPP Formula Rate
Schedule 11 Revenue Requirements
&amp;A
Page: &amp;P of &amp;N
</oddHeader>
    <oddFooter>&amp;L&amp;A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U163"/>
  <sheetViews>
    <sheetView view="pageBreakPreview" zoomScale="80" zoomScaleNormal="100" zoomScaleSheetLayoutView="80"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8.5703125" style="145" customWidth="1"/>
    <col min="11" max="11" width="17.7109375" style="145" customWidth="1"/>
    <col min="12" max="12" width="16.140625" style="145" customWidth="1"/>
    <col min="13" max="13" width="18.7109375" style="145" customWidth="1"/>
    <col min="14" max="14" width="20.42578125" style="145" customWidth="1"/>
    <col min="15" max="15" width="20"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7 of 23</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1248535.8805302577</v>
      </c>
      <c r="P5" s="243"/>
      <c r="R5" s="243"/>
      <c r="S5" s="243"/>
      <c r="T5" s="243"/>
      <c r="U5" s="243"/>
    </row>
    <row r="6" spans="1:21" ht="15.75">
      <c r="C6" s="235"/>
      <c r="D6" s="292"/>
      <c r="E6" s="243"/>
      <c r="F6" s="243"/>
      <c r="G6" s="243"/>
      <c r="H6" s="449"/>
      <c r="I6" s="449"/>
      <c r="J6" s="450"/>
      <c r="K6" s="451" t="s">
        <v>243</v>
      </c>
      <c r="L6" s="452"/>
      <c r="M6" s="278"/>
      <c r="N6" s="453">
        <f>VLOOKUP(I10,C17:I73,6)</f>
        <v>1248535.8805302577</v>
      </c>
      <c r="O6" s="243"/>
      <c r="P6" s="243"/>
      <c r="R6" s="243"/>
      <c r="S6" s="243"/>
      <c r="T6" s="243"/>
      <c r="U6" s="243"/>
    </row>
    <row r="7" spans="1:21" ht="13.5" thickBot="1">
      <c r="C7" s="454" t="s">
        <v>46</v>
      </c>
      <c r="D7" s="455" t="s">
        <v>214</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C9" s="463" t="s">
        <v>48</v>
      </c>
      <c r="D9" s="464" t="s">
        <v>213</v>
      </c>
      <c r="E9" s="647" t="s">
        <v>306</v>
      </c>
      <c r="F9" s="465"/>
      <c r="G9" s="465"/>
      <c r="H9" s="465"/>
      <c r="I9" s="466"/>
      <c r="J9" s="467"/>
      <c r="O9" s="468"/>
      <c r="P9" s="278"/>
      <c r="R9" s="243"/>
      <c r="S9" s="243"/>
      <c r="T9" s="243"/>
      <c r="U9" s="243"/>
    </row>
    <row r="10" spans="1:21">
      <c r="C10" s="469" t="s">
        <v>49</v>
      </c>
      <c r="D10" s="470">
        <v>10218098</v>
      </c>
      <c r="E10" s="299" t="s">
        <v>50</v>
      </c>
      <c r="F10" s="468"/>
      <c r="G10" s="408"/>
      <c r="H10" s="408"/>
      <c r="I10" s="471">
        <f>+OKT.WS.F.BPU.ATRR.Projected!R101</f>
        <v>2022</v>
      </c>
      <c r="J10" s="467"/>
      <c r="K10" s="294" t="s">
        <v>51</v>
      </c>
      <c r="O10" s="278"/>
      <c r="P10" s="278"/>
      <c r="R10" s="243"/>
      <c r="S10" s="243"/>
      <c r="T10" s="243"/>
      <c r="U10" s="243"/>
    </row>
    <row r="11" spans="1:21">
      <c r="C11" s="472" t="s">
        <v>52</v>
      </c>
      <c r="D11" s="473">
        <v>2014</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10</v>
      </c>
      <c r="E12" s="472" t="s">
        <v>55</v>
      </c>
      <c r="F12" s="408"/>
      <c r="G12" s="220"/>
      <c r="H12" s="220"/>
      <c r="I12" s="476">
        <f>OKT.WS.F.BPU.ATRR.Projected!$F$79</f>
        <v>0.11475877389767174</v>
      </c>
      <c r="J12" s="413"/>
      <c r="K12" s="145" t="s">
        <v>56</v>
      </c>
      <c r="O12" s="278"/>
      <c r="P12" s="278"/>
      <c r="R12" s="243"/>
      <c r="S12" s="243"/>
      <c r="T12" s="243"/>
      <c r="U12" s="243"/>
    </row>
    <row r="13" spans="1:21">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309639.33333333331</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73" si="0">IF(D17=F16,"","IU")</f>
        <v>IU</v>
      </c>
      <c r="C17" s="495">
        <f>IF(D11= "","-",D11)</f>
        <v>2014</v>
      </c>
      <c r="D17" s="496">
        <v>10780000</v>
      </c>
      <c r="E17" s="497">
        <v>108783.19956647091</v>
      </c>
      <c r="F17" s="496">
        <v>10671216.80043353</v>
      </c>
      <c r="G17" s="497">
        <v>891533.50922396348</v>
      </c>
      <c r="H17" s="499">
        <v>891533.50922396348</v>
      </c>
      <c r="I17" s="500">
        <v>0</v>
      </c>
      <c r="J17" s="500"/>
      <c r="K17" s="501">
        <f t="shared" ref="K17:K22" si="1">G17</f>
        <v>891533.50922396348</v>
      </c>
      <c r="L17" s="502">
        <f t="shared" ref="L17:L22" si="2">IF(K17&lt;&gt;0,+G17-K17,0)</f>
        <v>0</v>
      </c>
      <c r="M17" s="501">
        <f t="shared" ref="M17:M22" si="3">H17</f>
        <v>891533.50922396348</v>
      </c>
      <c r="N17" s="503">
        <f>IF(M17&lt;&gt;0,+H17-M17,0)</f>
        <v>0</v>
      </c>
      <c r="O17" s="504">
        <f>+N17-L17</f>
        <v>0</v>
      </c>
      <c r="P17" s="278"/>
      <c r="R17" s="243"/>
      <c r="S17" s="243"/>
      <c r="T17" s="243"/>
      <c r="U17" s="243"/>
    </row>
    <row r="18" spans="2:21">
      <c r="B18" s="145" t="str">
        <f t="shared" si="0"/>
        <v/>
      </c>
      <c r="C18" s="495">
        <f>IF(D11="","-",+C17+1)</f>
        <v>2015</v>
      </c>
      <c r="D18" s="496">
        <v>10671216.80043353</v>
      </c>
      <c r="E18" s="498">
        <v>177316.90361351607</v>
      </c>
      <c r="F18" s="496">
        <v>10493899.896820014</v>
      </c>
      <c r="G18" s="498">
        <v>1258875.2944357994</v>
      </c>
      <c r="H18" s="499">
        <v>1258875.2944357994</v>
      </c>
      <c r="I18" s="500">
        <v>0</v>
      </c>
      <c r="J18" s="500"/>
      <c r="K18" s="506">
        <f t="shared" si="1"/>
        <v>1258875.2944357994</v>
      </c>
      <c r="L18" s="507">
        <f t="shared" si="2"/>
        <v>0</v>
      </c>
      <c r="M18" s="506">
        <f t="shared" si="3"/>
        <v>1258875.2944357994</v>
      </c>
      <c r="N18" s="504">
        <f>IF(M18&lt;&gt;0,+H18-M18,0)</f>
        <v>0</v>
      </c>
      <c r="O18" s="504">
        <f>+N18-L18</f>
        <v>0</v>
      </c>
      <c r="P18" s="278"/>
      <c r="R18" s="243"/>
      <c r="S18" s="243"/>
      <c r="T18" s="243"/>
      <c r="U18" s="243"/>
    </row>
    <row r="19" spans="2:21">
      <c r="B19" s="145" t="str">
        <f t="shared" si="0"/>
        <v>IU</v>
      </c>
      <c r="C19" s="495">
        <f>IF(D11="","-",+C18+1)</f>
        <v>2016</v>
      </c>
      <c r="D19" s="496">
        <v>9931637.8968200125</v>
      </c>
      <c r="E19" s="498">
        <v>212319.01830997164</v>
      </c>
      <c r="F19" s="496">
        <v>9719318.8785100412</v>
      </c>
      <c r="G19" s="498">
        <v>1260842.7357894429</v>
      </c>
      <c r="H19" s="499">
        <v>1260842.7357894429</v>
      </c>
      <c r="I19" s="500">
        <f>H19-G19</f>
        <v>0</v>
      </c>
      <c r="J19" s="500"/>
      <c r="K19" s="506">
        <f t="shared" si="1"/>
        <v>1260842.7357894429</v>
      </c>
      <c r="L19" s="507">
        <f t="shared" si="2"/>
        <v>0</v>
      </c>
      <c r="M19" s="506">
        <f t="shared" si="3"/>
        <v>1260842.7357894429</v>
      </c>
      <c r="N19" s="504">
        <f t="shared" ref="N19:N73" si="4">IF(M19&lt;&gt;0,+H19-M19,0)</f>
        <v>0</v>
      </c>
      <c r="O19" s="504">
        <f t="shared" ref="O19:O73" si="5">+N19-L19</f>
        <v>0</v>
      </c>
      <c r="P19" s="278"/>
      <c r="R19" s="243"/>
      <c r="S19" s="243"/>
      <c r="T19" s="243"/>
      <c r="U19" s="243"/>
    </row>
    <row r="20" spans="2:21">
      <c r="B20" s="145" t="str">
        <f t="shared" si="0"/>
        <v>IU</v>
      </c>
      <c r="C20" s="495">
        <f>IF(D11="","-",+C19+1)</f>
        <v>2017</v>
      </c>
      <c r="D20" s="496">
        <v>9719678.8785100412</v>
      </c>
      <c r="E20" s="498">
        <v>200908.03630390498</v>
      </c>
      <c r="F20" s="496">
        <v>9518770.8422061354</v>
      </c>
      <c r="G20" s="498">
        <v>1258445.35153371</v>
      </c>
      <c r="H20" s="499">
        <v>1258445.35153371</v>
      </c>
      <c r="I20" s="500">
        <f t="shared" ref="I20:I73" si="6">H20-G20</f>
        <v>0</v>
      </c>
      <c r="J20" s="500"/>
      <c r="K20" s="506">
        <f t="shared" si="1"/>
        <v>1258445.35153371</v>
      </c>
      <c r="L20" s="507">
        <f t="shared" si="2"/>
        <v>0</v>
      </c>
      <c r="M20" s="506">
        <f t="shared" si="3"/>
        <v>1258445.35153371</v>
      </c>
      <c r="N20" s="504">
        <f>IF(M20&lt;&gt;0,+H20-M20,0)</f>
        <v>0</v>
      </c>
      <c r="O20" s="504">
        <f>+N20-L20</f>
        <v>0</v>
      </c>
      <c r="P20" s="278"/>
      <c r="R20" s="243"/>
      <c r="S20" s="243"/>
      <c r="T20" s="243"/>
      <c r="U20" s="243"/>
    </row>
    <row r="21" spans="2:21">
      <c r="B21" s="145" t="str">
        <f t="shared" si="0"/>
        <v/>
      </c>
      <c r="C21" s="495">
        <f>IF(D11="","-",+C20+1)</f>
        <v>2018</v>
      </c>
      <c r="D21" s="496">
        <v>9518770.8422061354</v>
      </c>
      <c r="E21" s="498">
        <v>250594.58163414692</v>
      </c>
      <c r="F21" s="496">
        <v>9268176.2605719883</v>
      </c>
      <c r="G21" s="498">
        <v>1205193.6465713971</v>
      </c>
      <c r="H21" s="499">
        <v>1205193.6465713971</v>
      </c>
      <c r="I21" s="500">
        <v>0</v>
      </c>
      <c r="J21" s="500"/>
      <c r="K21" s="506">
        <f t="shared" si="1"/>
        <v>1205193.6465713971</v>
      </c>
      <c r="L21" s="507">
        <f t="shared" si="2"/>
        <v>0</v>
      </c>
      <c r="M21" s="506">
        <f t="shared" si="3"/>
        <v>1205193.6465713971</v>
      </c>
      <c r="N21" s="504">
        <f>IF(M21&lt;&gt;0,+H21-M21,0)</f>
        <v>0</v>
      </c>
      <c r="O21" s="504">
        <f>+N21-L21</f>
        <v>0</v>
      </c>
      <c r="P21" s="278"/>
      <c r="R21" s="243"/>
      <c r="S21" s="243"/>
      <c r="T21" s="243"/>
      <c r="U21" s="243"/>
    </row>
    <row r="22" spans="2:21">
      <c r="B22" s="145" t="str">
        <f t="shared" si="0"/>
        <v/>
      </c>
      <c r="C22" s="495">
        <f>IF(D11="","-",+C21+1)</f>
        <v>2019</v>
      </c>
      <c r="D22" s="496">
        <v>9268176.2605719883</v>
      </c>
      <c r="E22" s="498">
        <v>303057.00441769959</v>
      </c>
      <c r="F22" s="496">
        <v>8965119.2561542895</v>
      </c>
      <c r="G22" s="498">
        <v>1250604.5823260741</v>
      </c>
      <c r="H22" s="499">
        <v>1250604.5823260741</v>
      </c>
      <c r="I22" s="500">
        <f t="shared" si="6"/>
        <v>0</v>
      </c>
      <c r="J22" s="500"/>
      <c r="K22" s="506">
        <f t="shared" si="1"/>
        <v>1250604.5823260741</v>
      </c>
      <c r="L22" s="507">
        <f t="shared" si="2"/>
        <v>0</v>
      </c>
      <c r="M22" s="506">
        <f t="shared" si="3"/>
        <v>1250604.5823260741</v>
      </c>
      <c r="N22" s="504">
        <f>IF(M22&lt;&gt;0,+H22-M22,0)</f>
        <v>0</v>
      </c>
      <c r="O22" s="504">
        <f>+N22-L22</f>
        <v>0</v>
      </c>
      <c r="P22" s="278"/>
      <c r="R22" s="243"/>
      <c r="S22" s="243"/>
      <c r="T22" s="243"/>
      <c r="U22" s="243"/>
    </row>
    <row r="23" spans="2:21">
      <c r="B23" s="145" t="str">
        <f t="shared" si="0"/>
        <v>IU</v>
      </c>
      <c r="C23" s="495">
        <f>IF(D11="","-",+C22+1)</f>
        <v>2020</v>
      </c>
      <c r="D23" s="496">
        <v>9017581.6789378412</v>
      </c>
      <c r="E23" s="498">
        <v>299204.10245587147</v>
      </c>
      <c r="F23" s="496">
        <v>8718377.57648197</v>
      </c>
      <c r="G23" s="498">
        <v>1229743.0760443411</v>
      </c>
      <c r="H23" s="499">
        <v>1229743.0760443411</v>
      </c>
      <c r="I23" s="500">
        <f t="shared" si="6"/>
        <v>0</v>
      </c>
      <c r="J23" s="500"/>
      <c r="K23" s="506">
        <f t="shared" ref="K23" si="7">G23</f>
        <v>1229743.0760443411</v>
      </c>
      <c r="L23" s="507">
        <f t="shared" ref="L23" si="8">IF(K23&lt;&gt;0,+G23-K23,0)</f>
        <v>0</v>
      </c>
      <c r="M23" s="506">
        <f t="shared" ref="M23" si="9">H23</f>
        <v>1229743.0760443411</v>
      </c>
      <c r="N23" s="504">
        <f>IF(M23&lt;&gt;0,+H23-M23,0)</f>
        <v>0</v>
      </c>
      <c r="O23" s="504">
        <f>+N23-L23</f>
        <v>0</v>
      </c>
      <c r="P23" s="278"/>
      <c r="R23" s="243"/>
      <c r="S23" s="243"/>
      <c r="T23" s="243"/>
      <c r="U23" s="243"/>
    </row>
    <row r="24" spans="2:21">
      <c r="B24" s="145" t="str">
        <f t="shared" si="0"/>
        <v>IU</v>
      </c>
      <c r="C24" s="495">
        <f>IF(D11="","-",+C23+1)</f>
        <v>2021</v>
      </c>
      <c r="D24" s="496">
        <v>8665915.1536984183</v>
      </c>
      <c r="E24" s="498">
        <v>329616.06451612903</v>
      </c>
      <c r="F24" s="496">
        <v>8336299.0891822893</v>
      </c>
      <c r="G24" s="498">
        <v>1249308.9096017922</v>
      </c>
      <c r="H24" s="499">
        <v>1249308.9096017922</v>
      </c>
      <c r="I24" s="500">
        <f t="shared" si="6"/>
        <v>0</v>
      </c>
      <c r="J24" s="500"/>
      <c r="K24" s="506">
        <f t="shared" ref="K24" si="10">G24</f>
        <v>1249308.9096017922</v>
      </c>
      <c r="L24" s="507">
        <f t="shared" ref="L24" si="11">IF(K24&lt;&gt;0,+G24-K24,0)</f>
        <v>0</v>
      </c>
      <c r="M24" s="506">
        <f t="shared" ref="M24" si="12">H24</f>
        <v>1249308.9096017922</v>
      </c>
      <c r="N24" s="504">
        <f t="shared" si="4"/>
        <v>0</v>
      </c>
      <c r="O24" s="504">
        <f t="shared" si="5"/>
        <v>0</v>
      </c>
      <c r="P24" s="278"/>
      <c r="R24" s="243"/>
      <c r="S24" s="243"/>
      <c r="T24" s="243"/>
      <c r="U24" s="243"/>
    </row>
    <row r="25" spans="2:21">
      <c r="B25" s="145" t="str">
        <f t="shared" si="0"/>
        <v/>
      </c>
      <c r="C25" s="495">
        <f>IF(D11="","-",+C24+1)</f>
        <v>2022</v>
      </c>
      <c r="D25" s="508">
        <f>IF(F24+SUM(E$17:E24)=D$10,F24,D$10-SUM(E$17:E24))</f>
        <v>8336299.0891822893</v>
      </c>
      <c r="E25" s="509">
        <f t="shared" ref="E25:E73" si="13">IF(+$I$14&lt;F24,$I$14,D25)</f>
        <v>309639.33333333331</v>
      </c>
      <c r="F25" s="510">
        <f t="shared" ref="F25:F73" si="14">+D25-E25</f>
        <v>8026659.7558489563</v>
      </c>
      <c r="G25" s="511">
        <f t="shared" ref="G25:G73" si="15">(D25+F25)/2*I$12+E25</f>
        <v>1248535.8805302577</v>
      </c>
      <c r="H25" s="477">
        <f t="shared" ref="H25:H73" si="16">+(D25+F25)/2*I$13+E25</f>
        <v>1248535.8805302577</v>
      </c>
      <c r="I25" s="500">
        <f t="shared" si="6"/>
        <v>0</v>
      </c>
      <c r="J25" s="500"/>
      <c r="K25" s="512"/>
      <c r="L25" s="504">
        <f t="shared" ref="L25:L73" si="17">IF(K25&lt;&gt;0,+G25-K25,0)</f>
        <v>0</v>
      </c>
      <c r="M25" s="512"/>
      <c r="N25" s="504">
        <f t="shared" si="4"/>
        <v>0</v>
      </c>
      <c r="O25" s="504">
        <f t="shared" si="5"/>
        <v>0</v>
      </c>
      <c r="P25" s="278"/>
      <c r="R25" s="243"/>
      <c r="S25" s="243"/>
      <c r="T25" s="243"/>
      <c r="U25" s="243"/>
    </row>
    <row r="26" spans="2:21">
      <c r="B26" s="145" t="str">
        <f t="shared" si="0"/>
        <v/>
      </c>
      <c r="C26" s="495">
        <f>IF(D11="","-",+C25+1)</f>
        <v>2023</v>
      </c>
      <c r="D26" s="508">
        <f>IF(F25+SUM(E$17:E25)=D$10,F25,D$10-SUM(E$17:E25))</f>
        <v>8026659.7558489563</v>
      </c>
      <c r="E26" s="509">
        <f t="shared" si="13"/>
        <v>309639.33333333331</v>
      </c>
      <c r="F26" s="510">
        <f t="shared" si="14"/>
        <v>7717020.4225156233</v>
      </c>
      <c r="G26" s="511">
        <f t="shared" si="15"/>
        <v>1213002.0502864318</v>
      </c>
      <c r="H26" s="477">
        <f t="shared" si="16"/>
        <v>1213002.0502864318</v>
      </c>
      <c r="I26" s="500">
        <f t="shared" si="6"/>
        <v>0</v>
      </c>
      <c r="J26" s="500"/>
      <c r="K26" s="512"/>
      <c r="L26" s="504">
        <f t="shared" si="17"/>
        <v>0</v>
      </c>
      <c r="M26" s="512"/>
      <c r="N26" s="504">
        <f t="shared" si="4"/>
        <v>0</v>
      </c>
      <c r="O26" s="504">
        <f t="shared" si="5"/>
        <v>0</v>
      </c>
      <c r="P26" s="278"/>
      <c r="R26" s="243"/>
      <c r="S26" s="243"/>
      <c r="T26" s="243"/>
      <c r="U26" s="243"/>
    </row>
    <row r="27" spans="2:21">
      <c r="B27" s="145" t="str">
        <f t="shared" si="0"/>
        <v/>
      </c>
      <c r="C27" s="495">
        <f>IF(D11="","-",+C26+1)</f>
        <v>2024</v>
      </c>
      <c r="D27" s="508">
        <f>IF(F26+SUM(E$17:E26)=D$10,F26,D$10-SUM(E$17:E26))</f>
        <v>7717020.4225156233</v>
      </c>
      <c r="E27" s="509">
        <f t="shared" si="13"/>
        <v>309639.33333333331</v>
      </c>
      <c r="F27" s="510">
        <f t="shared" si="14"/>
        <v>7407381.0891822902</v>
      </c>
      <c r="G27" s="511">
        <f t="shared" si="15"/>
        <v>1177468.2200426061</v>
      </c>
      <c r="H27" s="477">
        <f t="shared" si="16"/>
        <v>1177468.2200426061</v>
      </c>
      <c r="I27" s="500">
        <f t="shared" si="6"/>
        <v>0</v>
      </c>
      <c r="J27" s="500"/>
      <c r="K27" s="512"/>
      <c r="L27" s="504">
        <f t="shared" si="17"/>
        <v>0</v>
      </c>
      <c r="M27" s="512"/>
      <c r="N27" s="504">
        <f t="shared" si="4"/>
        <v>0</v>
      </c>
      <c r="O27" s="504">
        <f t="shared" si="5"/>
        <v>0</v>
      </c>
      <c r="P27" s="278"/>
      <c r="R27" s="243"/>
      <c r="S27" s="243"/>
      <c r="T27" s="243"/>
      <c r="U27" s="243"/>
    </row>
    <row r="28" spans="2:21">
      <c r="B28" s="145" t="str">
        <f t="shared" si="0"/>
        <v/>
      </c>
      <c r="C28" s="495">
        <f>IF(D11="","-",+C27+1)</f>
        <v>2025</v>
      </c>
      <c r="D28" s="508">
        <f>IF(F27+SUM(E$17:E27)=D$10,F27,D$10-SUM(E$17:E27))</f>
        <v>7407381.0891822902</v>
      </c>
      <c r="E28" s="509">
        <f t="shared" si="13"/>
        <v>309639.33333333331</v>
      </c>
      <c r="F28" s="510">
        <f t="shared" si="14"/>
        <v>7097741.7558489572</v>
      </c>
      <c r="G28" s="511">
        <f t="shared" si="15"/>
        <v>1141934.3897987802</v>
      </c>
      <c r="H28" s="477">
        <f t="shared" si="16"/>
        <v>1141934.3897987802</v>
      </c>
      <c r="I28" s="500">
        <f t="shared" si="6"/>
        <v>0</v>
      </c>
      <c r="J28" s="500"/>
      <c r="K28" s="512"/>
      <c r="L28" s="504">
        <f t="shared" si="17"/>
        <v>0</v>
      </c>
      <c r="M28" s="512"/>
      <c r="N28" s="504">
        <f t="shared" si="4"/>
        <v>0</v>
      </c>
      <c r="O28" s="504">
        <f t="shared" si="5"/>
        <v>0</v>
      </c>
      <c r="P28" s="278"/>
      <c r="R28" s="243"/>
      <c r="S28" s="243"/>
      <c r="T28" s="243"/>
      <c r="U28" s="243"/>
    </row>
    <row r="29" spans="2:21">
      <c r="B29" s="145" t="str">
        <f t="shared" si="0"/>
        <v/>
      </c>
      <c r="C29" s="495">
        <f>IF(D11="","-",+C28+1)</f>
        <v>2026</v>
      </c>
      <c r="D29" s="508">
        <f>IF(F28+SUM(E$17:E28)=D$10,F28,D$10-SUM(E$17:E28))</f>
        <v>7097741.7558489572</v>
      </c>
      <c r="E29" s="509">
        <f t="shared" si="13"/>
        <v>309639.33333333331</v>
      </c>
      <c r="F29" s="510">
        <f t="shared" si="14"/>
        <v>6788102.4225156242</v>
      </c>
      <c r="G29" s="511">
        <f t="shared" si="15"/>
        <v>1106400.5595549545</v>
      </c>
      <c r="H29" s="477">
        <f t="shared" si="16"/>
        <v>1106400.5595549545</v>
      </c>
      <c r="I29" s="500">
        <f t="shared" si="6"/>
        <v>0</v>
      </c>
      <c r="J29" s="500"/>
      <c r="K29" s="512"/>
      <c r="L29" s="504">
        <f t="shared" si="17"/>
        <v>0</v>
      </c>
      <c r="M29" s="512"/>
      <c r="N29" s="504">
        <f t="shared" si="4"/>
        <v>0</v>
      </c>
      <c r="O29" s="504">
        <f t="shared" si="5"/>
        <v>0</v>
      </c>
      <c r="P29" s="278"/>
      <c r="R29" s="243"/>
      <c r="S29" s="243"/>
      <c r="T29" s="243"/>
      <c r="U29" s="243"/>
    </row>
    <row r="30" spans="2:21">
      <c r="B30" s="145" t="str">
        <f t="shared" si="0"/>
        <v/>
      </c>
      <c r="C30" s="495">
        <f>IF(D11="","-",+C29+1)</f>
        <v>2027</v>
      </c>
      <c r="D30" s="508">
        <f>IF(F29+SUM(E$17:E29)=D$10,F29,D$10-SUM(E$17:E29))</f>
        <v>6788102.4225156242</v>
      </c>
      <c r="E30" s="509">
        <f t="shared" si="13"/>
        <v>309639.33333333331</v>
      </c>
      <c r="F30" s="510">
        <f t="shared" si="14"/>
        <v>6478463.0891822912</v>
      </c>
      <c r="G30" s="511">
        <f t="shared" si="15"/>
        <v>1070866.7293111286</v>
      </c>
      <c r="H30" s="477">
        <f t="shared" si="16"/>
        <v>1070866.7293111286</v>
      </c>
      <c r="I30" s="500">
        <f t="shared" si="6"/>
        <v>0</v>
      </c>
      <c r="J30" s="500"/>
      <c r="K30" s="512"/>
      <c r="L30" s="504">
        <f t="shared" si="17"/>
        <v>0</v>
      </c>
      <c r="M30" s="512"/>
      <c r="N30" s="504">
        <f t="shared" si="4"/>
        <v>0</v>
      </c>
      <c r="O30" s="504">
        <f t="shared" si="5"/>
        <v>0</v>
      </c>
      <c r="P30" s="278"/>
      <c r="R30" s="243"/>
      <c r="S30" s="243"/>
      <c r="T30" s="243"/>
      <c r="U30" s="243"/>
    </row>
    <row r="31" spans="2:21">
      <c r="B31" s="145" t="str">
        <f t="shared" si="0"/>
        <v/>
      </c>
      <c r="C31" s="495">
        <f>IF(D11="","-",+C30+1)</f>
        <v>2028</v>
      </c>
      <c r="D31" s="508">
        <f>IF(F30+SUM(E$17:E30)=D$10,F30,D$10-SUM(E$17:E30))</f>
        <v>6478463.0891822912</v>
      </c>
      <c r="E31" s="509">
        <f t="shared" si="13"/>
        <v>309639.33333333331</v>
      </c>
      <c r="F31" s="510">
        <f t="shared" si="14"/>
        <v>6168823.7558489582</v>
      </c>
      <c r="G31" s="511">
        <f t="shared" si="15"/>
        <v>1035332.8990673029</v>
      </c>
      <c r="H31" s="477">
        <f t="shared" si="16"/>
        <v>1035332.8990673029</v>
      </c>
      <c r="I31" s="500">
        <f t="shared" si="6"/>
        <v>0</v>
      </c>
      <c r="J31" s="500"/>
      <c r="K31" s="512"/>
      <c r="L31" s="504">
        <f t="shared" si="17"/>
        <v>0</v>
      </c>
      <c r="M31" s="512"/>
      <c r="N31" s="504">
        <f t="shared" si="4"/>
        <v>0</v>
      </c>
      <c r="O31" s="504">
        <f t="shared" si="5"/>
        <v>0</v>
      </c>
      <c r="P31" s="278"/>
      <c r="Q31" s="220"/>
      <c r="R31" s="278"/>
      <c r="S31" s="278"/>
      <c r="T31" s="278"/>
      <c r="U31" s="243"/>
    </row>
    <row r="32" spans="2:21">
      <c r="B32" s="145" t="str">
        <f t="shared" si="0"/>
        <v/>
      </c>
      <c r="C32" s="495">
        <f>IF(D12="","-",+C31+1)</f>
        <v>2029</v>
      </c>
      <c r="D32" s="508">
        <f>IF(F31+SUM(E$17:E31)=D$10,F31,D$10-SUM(E$17:E31))</f>
        <v>6168823.7558489582</v>
      </c>
      <c r="E32" s="509">
        <f>IF(+$I$14&lt;F31,$I$14,D32)</f>
        <v>309639.33333333331</v>
      </c>
      <c r="F32" s="510">
        <f>+D32-E32</f>
        <v>5859184.4225156251</v>
      </c>
      <c r="G32" s="511">
        <f t="shared" si="15"/>
        <v>999799.06882347702</v>
      </c>
      <c r="H32" s="477">
        <f t="shared" si="16"/>
        <v>999799.06882347702</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2030</v>
      </c>
      <c r="D33" s="581">
        <f>IF(F32+SUM(E$17:E32)=D$10,F32,D$10-SUM(E$17:E32))</f>
        <v>5859184.4225156251</v>
      </c>
      <c r="E33" s="509">
        <f>IF(+$I$14&lt;F31,$I$14,D33)</f>
        <v>309639.33333333331</v>
      </c>
      <c r="F33" s="510">
        <f t="shared" si="14"/>
        <v>5549545.0891822921</v>
      </c>
      <c r="G33" s="511">
        <f t="shared" si="15"/>
        <v>964265.23857965134</v>
      </c>
      <c r="H33" s="477">
        <f t="shared" si="16"/>
        <v>964265.23857965134</v>
      </c>
      <c r="I33" s="500">
        <f t="shared" si="6"/>
        <v>0</v>
      </c>
      <c r="J33" s="500"/>
      <c r="K33" s="512"/>
      <c r="L33" s="504">
        <f t="shared" si="17"/>
        <v>0</v>
      </c>
      <c r="M33" s="512"/>
      <c r="N33" s="504">
        <f t="shared" si="4"/>
        <v>0</v>
      </c>
      <c r="O33" s="504">
        <f t="shared" si="5"/>
        <v>0</v>
      </c>
      <c r="P33" s="278"/>
      <c r="R33" s="243"/>
      <c r="S33" s="243"/>
      <c r="T33" s="243"/>
      <c r="U33" s="243"/>
    </row>
    <row r="34" spans="2:21">
      <c r="B34" s="145" t="str">
        <f t="shared" si="0"/>
        <v/>
      </c>
      <c r="C34" s="513">
        <f>IF(D11="","-",+C33+1)</f>
        <v>2031</v>
      </c>
      <c r="D34" s="581">
        <f>IF(F33+SUM(E$17:E33)=D$10,F33,D$10-SUM(E$17:E33))</f>
        <v>5549545.0891822921</v>
      </c>
      <c r="E34" s="515">
        <f t="shared" si="13"/>
        <v>309639.33333333331</v>
      </c>
      <c r="F34" s="516">
        <f t="shared" si="14"/>
        <v>5239905.7558489591</v>
      </c>
      <c r="G34" s="517">
        <f t="shared" si="15"/>
        <v>928731.40833582566</v>
      </c>
      <c r="H34" s="518">
        <f t="shared" si="16"/>
        <v>928731.40833582566</v>
      </c>
      <c r="I34" s="519">
        <f t="shared" si="6"/>
        <v>0</v>
      </c>
      <c r="J34" s="519"/>
      <c r="K34" s="520"/>
      <c r="L34" s="521">
        <f t="shared" si="17"/>
        <v>0</v>
      </c>
      <c r="M34" s="520"/>
      <c r="N34" s="521">
        <f t="shared" si="4"/>
        <v>0</v>
      </c>
      <c r="O34" s="521">
        <f t="shared" si="5"/>
        <v>0</v>
      </c>
      <c r="P34" s="522"/>
      <c r="Q34" s="216"/>
      <c r="R34" s="522"/>
      <c r="S34" s="522"/>
      <c r="T34" s="522"/>
      <c r="U34" s="243"/>
    </row>
    <row r="35" spans="2:21">
      <c r="B35" s="145" t="str">
        <f t="shared" si="0"/>
        <v/>
      </c>
      <c r="C35" s="495">
        <f>IF(D11="","-",+C34+1)</f>
        <v>2032</v>
      </c>
      <c r="D35" s="508">
        <f>IF(F34+SUM(E$17:E34)=D$10,F34,D$10-SUM(E$17:E34))</f>
        <v>5239905.7558489591</v>
      </c>
      <c r="E35" s="509">
        <f t="shared" si="13"/>
        <v>309639.33333333331</v>
      </c>
      <c r="F35" s="510">
        <f t="shared" si="14"/>
        <v>4930266.4225156261</v>
      </c>
      <c r="G35" s="511">
        <f t="shared" si="15"/>
        <v>893197.57809199998</v>
      </c>
      <c r="H35" s="477">
        <f t="shared" si="16"/>
        <v>893197.57809199998</v>
      </c>
      <c r="I35" s="500">
        <f t="shared" si="6"/>
        <v>0</v>
      </c>
      <c r="J35" s="500"/>
      <c r="K35" s="512"/>
      <c r="L35" s="504">
        <f t="shared" si="17"/>
        <v>0</v>
      </c>
      <c r="M35" s="512"/>
      <c r="N35" s="504">
        <f t="shared" si="4"/>
        <v>0</v>
      </c>
      <c r="O35" s="504">
        <f t="shared" si="5"/>
        <v>0</v>
      </c>
      <c r="P35" s="278"/>
      <c r="R35" s="243"/>
      <c r="S35" s="243"/>
      <c r="T35" s="243"/>
      <c r="U35" s="243"/>
    </row>
    <row r="36" spans="2:21">
      <c r="B36" s="145" t="str">
        <f t="shared" si="0"/>
        <v/>
      </c>
      <c r="C36" s="495">
        <f>IF(D11="","-",+C35+1)</f>
        <v>2033</v>
      </c>
      <c r="D36" s="508">
        <f>IF(F35+SUM(E$17:E35)=D$10,F35,D$10-SUM(E$17:E35))</f>
        <v>4930266.4225156261</v>
      </c>
      <c r="E36" s="509">
        <f t="shared" si="13"/>
        <v>309639.33333333331</v>
      </c>
      <c r="F36" s="510">
        <f t="shared" si="14"/>
        <v>4620627.089182293</v>
      </c>
      <c r="G36" s="511">
        <f t="shared" si="15"/>
        <v>857663.74784817407</v>
      </c>
      <c r="H36" s="477">
        <f t="shared" si="16"/>
        <v>857663.74784817407</v>
      </c>
      <c r="I36" s="500">
        <f t="shared" si="6"/>
        <v>0</v>
      </c>
      <c r="J36" s="500"/>
      <c r="K36" s="512"/>
      <c r="L36" s="504">
        <f t="shared" si="17"/>
        <v>0</v>
      </c>
      <c r="M36" s="512"/>
      <c r="N36" s="504">
        <f t="shared" si="4"/>
        <v>0</v>
      </c>
      <c r="O36" s="504">
        <f t="shared" si="5"/>
        <v>0</v>
      </c>
      <c r="P36" s="278"/>
      <c r="R36" s="243"/>
      <c r="S36" s="243"/>
      <c r="T36" s="243"/>
      <c r="U36" s="243"/>
    </row>
    <row r="37" spans="2:21">
      <c r="B37" s="145" t="str">
        <f t="shared" si="0"/>
        <v/>
      </c>
      <c r="C37" s="495">
        <f>IF(D11="","-",+C36+1)</f>
        <v>2034</v>
      </c>
      <c r="D37" s="508">
        <f>IF(F36+SUM(E$17:E36)=D$10,F36,D$10-SUM(E$17:E36))</f>
        <v>4620627.089182293</v>
      </c>
      <c r="E37" s="509">
        <f t="shared" si="13"/>
        <v>309639.33333333331</v>
      </c>
      <c r="F37" s="510">
        <f t="shared" si="14"/>
        <v>4310987.75584896</v>
      </c>
      <c r="G37" s="511">
        <f t="shared" si="15"/>
        <v>822129.91760434839</v>
      </c>
      <c r="H37" s="477">
        <f t="shared" si="16"/>
        <v>822129.91760434839</v>
      </c>
      <c r="I37" s="500">
        <f t="shared" si="6"/>
        <v>0</v>
      </c>
      <c r="J37" s="500"/>
      <c r="K37" s="512"/>
      <c r="L37" s="504">
        <f t="shared" si="17"/>
        <v>0</v>
      </c>
      <c r="M37" s="512"/>
      <c r="N37" s="504">
        <f t="shared" si="4"/>
        <v>0</v>
      </c>
      <c r="O37" s="504">
        <f t="shared" si="5"/>
        <v>0</v>
      </c>
      <c r="P37" s="278"/>
      <c r="R37" s="243"/>
      <c r="S37" s="243"/>
      <c r="T37" s="243"/>
      <c r="U37" s="243"/>
    </row>
    <row r="38" spans="2:21">
      <c r="B38" s="145" t="str">
        <f t="shared" si="0"/>
        <v/>
      </c>
      <c r="C38" s="495">
        <f>IF(D11="","-",+C37+1)</f>
        <v>2035</v>
      </c>
      <c r="D38" s="508">
        <f>IF(F37+SUM(E$17:E37)=D$10,F37,D$10-SUM(E$17:E37))</f>
        <v>4310987.75584896</v>
      </c>
      <c r="E38" s="509">
        <f t="shared" si="13"/>
        <v>309639.33333333331</v>
      </c>
      <c r="F38" s="510">
        <f t="shared" si="14"/>
        <v>4001348.4225156265</v>
      </c>
      <c r="G38" s="511">
        <f t="shared" si="15"/>
        <v>786596.08736052248</v>
      </c>
      <c r="H38" s="477">
        <f t="shared" si="16"/>
        <v>786596.08736052248</v>
      </c>
      <c r="I38" s="500">
        <f t="shared" si="6"/>
        <v>0</v>
      </c>
      <c r="J38" s="500"/>
      <c r="K38" s="512"/>
      <c r="L38" s="504">
        <f t="shared" si="17"/>
        <v>0</v>
      </c>
      <c r="M38" s="512"/>
      <c r="N38" s="504">
        <f t="shared" si="4"/>
        <v>0</v>
      </c>
      <c r="O38" s="504">
        <f t="shared" si="5"/>
        <v>0</v>
      </c>
      <c r="P38" s="278"/>
      <c r="R38" s="243"/>
      <c r="S38" s="243"/>
      <c r="T38" s="243"/>
      <c r="U38" s="243"/>
    </row>
    <row r="39" spans="2:21">
      <c r="B39" s="145" t="str">
        <f t="shared" si="0"/>
        <v/>
      </c>
      <c r="C39" s="495">
        <f>IF(D11="","-",+C38+1)</f>
        <v>2036</v>
      </c>
      <c r="D39" s="508">
        <f>IF(F38+SUM(E$17:E38)=D$10,F38,D$10-SUM(E$17:E38))</f>
        <v>4001348.4225156265</v>
      </c>
      <c r="E39" s="509">
        <f t="shared" si="13"/>
        <v>309639.33333333331</v>
      </c>
      <c r="F39" s="510">
        <f t="shared" si="14"/>
        <v>3691709.089182293</v>
      </c>
      <c r="G39" s="511">
        <f t="shared" si="15"/>
        <v>751062.25711669668</v>
      </c>
      <c r="H39" s="477">
        <f t="shared" si="16"/>
        <v>751062.25711669668</v>
      </c>
      <c r="I39" s="500">
        <f t="shared" si="6"/>
        <v>0</v>
      </c>
      <c r="J39" s="500"/>
      <c r="K39" s="512"/>
      <c r="L39" s="504">
        <f t="shared" si="17"/>
        <v>0</v>
      </c>
      <c r="M39" s="512"/>
      <c r="N39" s="504">
        <f t="shared" si="4"/>
        <v>0</v>
      </c>
      <c r="O39" s="504">
        <f t="shared" si="5"/>
        <v>0</v>
      </c>
      <c r="P39" s="278"/>
      <c r="R39" s="243"/>
      <c r="S39" s="243"/>
      <c r="T39" s="243"/>
      <c r="U39" s="243"/>
    </row>
    <row r="40" spans="2:21">
      <c r="B40" s="145" t="str">
        <f t="shared" si="0"/>
        <v/>
      </c>
      <c r="C40" s="495">
        <f>IF(D11="","-",+C39+1)</f>
        <v>2037</v>
      </c>
      <c r="D40" s="508">
        <f>IF(F39+SUM(E$17:E39)=D$10,F39,D$10-SUM(E$17:E39))</f>
        <v>3691709.089182293</v>
      </c>
      <c r="E40" s="509">
        <f t="shared" si="13"/>
        <v>309639.33333333331</v>
      </c>
      <c r="F40" s="510">
        <f t="shared" si="14"/>
        <v>3382069.7558489596</v>
      </c>
      <c r="G40" s="511">
        <f t="shared" si="15"/>
        <v>715528.42687287088</v>
      </c>
      <c r="H40" s="477">
        <f t="shared" si="16"/>
        <v>715528.42687287088</v>
      </c>
      <c r="I40" s="500">
        <f t="shared" si="6"/>
        <v>0</v>
      </c>
      <c r="J40" s="500"/>
      <c r="K40" s="512"/>
      <c r="L40" s="504">
        <f t="shared" si="17"/>
        <v>0</v>
      </c>
      <c r="M40" s="512"/>
      <c r="N40" s="504">
        <f t="shared" si="4"/>
        <v>0</v>
      </c>
      <c r="O40" s="504">
        <f t="shared" si="5"/>
        <v>0</v>
      </c>
      <c r="P40" s="278"/>
      <c r="R40" s="243"/>
      <c r="S40" s="243"/>
      <c r="T40" s="243"/>
      <c r="U40" s="243"/>
    </row>
    <row r="41" spans="2:21">
      <c r="B41" s="145" t="str">
        <f t="shared" si="0"/>
        <v/>
      </c>
      <c r="C41" s="495">
        <f>IF(D12="","-",+C40+1)</f>
        <v>2038</v>
      </c>
      <c r="D41" s="508">
        <f>IF(F40+SUM(E$17:E40)=D$10,F40,D$10-SUM(E$17:E40))</f>
        <v>3382069.7558489596</v>
      </c>
      <c r="E41" s="509">
        <f t="shared" si="13"/>
        <v>309639.33333333331</v>
      </c>
      <c r="F41" s="510">
        <f t="shared" si="14"/>
        <v>3072430.4225156261</v>
      </c>
      <c r="G41" s="511">
        <f t="shared" si="15"/>
        <v>679994.59662904497</v>
      </c>
      <c r="H41" s="477">
        <f t="shared" si="16"/>
        <v>679994.59662904497</v>
      </c>
      <c r="I41" s="500">
        <f t="shared" si="6"/>
        <v>0</v>
      </c>
      <c r="J41" s="500"/>
      <c r="K41" s="512"/>
      <c r="L41" s="504">
        <f t="shared" si="17"/>
        <v>0</v>
      </c>
      <c r="M41" s="512"/>
      <c r="N41" s="504">
        <f t="shared" si="4"/>
        <v>0</v>
      </c>
      <c r="O41" s="504">
        <f t="shared" si="5"/>
        <v>0</v>
      </c>
      <c r="P41" s="278"/>
      <c r="R41" s="243"/>
      <c r="S41" s="243"/>
      <c r="T41" s="243"/>
      <c r="U41" s="243"/>
    </row>
    <row r="42" spans="2:21">
      <c r="B42" s="145" t="str">
        <f t="shared" si="0"/>
        <v/>
      </c>
      <c r="C42" s="495">
        <f>IF(D13="","-",+C41+1)</f>
        <v>2039</v>
      </c>
      <c r="D42" s="508">
        <f>IF(F41+SUM(E$17:E41)=D$10,F41,D$10-SUM(E$17:E41))</f>
        <v>3072430.4225156261</v>
      </c>
      <c r="E42" s="509">
        <f t="shared" si="13"/>
        <v>309639.33333333331</v>
      </c>
      <c r="F42" s="510">
        <f t="shared" si="14"/>
        <v>2762791.0891822926</v>
      </c>
      <c r="G42" s="511">
        <f t="shared" si="15"/>
        <v>644460.76638521918</v>
      </c>
      <c r="H42" s="477">
        <f t="shared" si="16"/>
        <v>644460.76638521918</v>
      </c>
      <c r="I42" s="500">
        <f t="shared" si="6"/>
        <v>0</v>
      </c>
      <c r="J42" s="500"/>
      <c r="K42" s="512"/>
      <c r="L42" s="504">
        <f t="shared" si="17"/>
        <v>0</v>
      </c>
      <c r="M42" s="512"/>
      <c r="N42" s="504">
        <f t="shared" si="4"/>
        <v>0</v>
      </c>
      <c r="O42" s="504">
        <f t="shared" si="5"/>
        <v>0</v>
      </c>
      <c r="P42" s="278"/>
      <c r="R42" s="243"/>
      <c r="S42" s="243"/>
      <c r="T42" s="243"/>
      <c r="U42" s="243"/>
    </row>
    <row r="43" spans="2:21">
      <c r="B43" s="145" t="str">
        <f t="shared" si="0"/>
        <v/>
      </c>
      <c r="C43" s="495">
        <f>IF(D11="","-",+C42+1)</f>
        <v>2040</v>
      </c>
      <c r="D43" s="508">
        <f>IF(F42+SUM(E$17:E42)=D$10,F42,D$10-SUM(E$17:E42))</f>
        <v>2762791.0891822926</v>
      </c>
      <c r="E43" s="509">
        <f t="shared" si="13"/>
        <v>309639.33333333331</v>
      </c>
      <c r="F43" s="510">
        <f t="shared" si="14"/>
        <v>2453151.7558489591</v>
      </c>
      <c r="G43" s="511">
        <f t="shared" si="15"/>
        <v>608926.93614139338</v>
      </c>
      <c r="H43" s="477">
        <f t="shared" si="16"/>
        <v>608926.93614139338</v>
      </c>
      <c r="I43" s="500">
        <f t="shared" si="6"/>
        <v>0</v>
      </c>
      <c r="J43" s="500"/>
      <c r="K43" s="512"/>
      <c r="L43" s="504">
        <f t="shared" si="17"/>
        <v>0</v>
      </c>
      <c r="M43" s="512"/>
      <c r="N43" s="504">
        <f t="shared" si="4"/>
        <v>0</v>
      </c>
      <c r="O43" s="504">
        <f t="shared" si="5"/>
        <v>0</v>
      </c>
      <c r="P43" s="278"/>
      <c r="R43" s="243"/>
      <c r="S43" s="243"/>
      <c r="T43" s="243"/>
      <c r="U43" s="243"/>
    </row>
    <row r="44" spans="2:21">
      <c r="B44" s="145" t="str">
        <f t="shared" si="0"/>
        <v/>
      </c>
      <c r="C44" s="495">
        <f>IF(D11="","-",+C43+1)</f>
        <v>2041</v>
      </c>
      <c r="D44" s="508">
        <f>IF(F43+SUM(E$17:E43)=D$10,F43,D$10-SUM(E$17:E43))</f>
        <v>2453151.7558489591</v>
      </c>
      <c r="E44" s="509">
        <f t="shared" si="13"/>
        <v>309639.33333333331</v>
      </c>
      <c r="F44" s="510">
        <f t="shared" si="14"/>
        <v>2143512.4225156256</v>
      </c>
      <c r="G44" s="511">
        <f t="shared" si="15"/>
        <v>573393.10589756747</v>
      </c>
      <c r="H44" s="477">
        <f t="shared" si="16"/>
        <v>573393.10589756747</v>
      </c>
      <c r="I44" s="500">
        <f t="shared" si="6"/>
        <v>0</v>
      </c>
      <c r="J44" s="500"/>
      <c r="K44" s="512"/>
      <c r="L44" s="504">
        <f t="shared" si="17"/>
        <v>0</v>
      </c>
      <c r="M44" s="512"/>
      <c r="N44" s="504">
        <f t="shared" si="4"/>
        <v>0</v>
      </c>
      <c r="O44" s="504">
        <f t="shared" si="5"/>
        <v>0</v>
      </c>
      <c r="P44" s="278"/>
      <c r="R44" s="243"/>
      <c r="S44" s="243"/>
      <c r="T44" s="243"/>
      <c r="U44" s="243"/>
    </row>
    <row r="45" spans="2:21">
      <c r="B45" s="145" t="str">
        <f t="shared" si="0"/>
        <v/>
      </c>
      <c r="C45" s="495">
        <f>IF(D11="","-",+C44+1)</f>
        <v>2042</v>
      </c>
      <c r="D45" s="508">
        <f>IF(F44+SUM(E$17:E44)=D$10,F44,D$10-SUM(E$17:E44))</f>
        <v>2143512.4225156256</v>
      </c>
      <c r="E45" s="509">
        <f t="shared" si="13"/>
        <v>309639.33333333331</v>
      </c>
      <c r="F45" s="510">
        <f t="shared" si="14"/>
        <v>1833873.0891822923</v>
      </c>
      <c r="G45" s="511">
        <f t="shared" si="15"/>
        <v>537859.27565374167</v>
      </c>
      <c r="H45" s="477">
        <f t="shared" si="16"/>
        <v>537859.27565374167</v>
      </c>
      <c r="I45" s="500">
        <f t="shared" si="6"/>
        <v>0</v>
      </c>
      <c r="J45" s="500"/>
      <c r="K45" s="512"/>
      <c r="L45" s="504">
        <f t="shared" si="17"/>
        <v>0</v>
      </c>
      <c r="M45" s="512"/>
      <c r="N45" s="504">
        <f t="shared" si="4"/>
        <v>0</v>
      </c>
      <c r="O45" s="504">
        <f t="shared" si="5"/>
        <v>0</v>
      </c>
      <c r="P45" s="278"/>
      <c r="R45" s="243"/>
      <c r="S45" s="243"/>
      <c r="T45" s="243"/>
      <c r="U45" s="243"/>
    </row>
    <row r="46" spans="2:21">
      <c r="B46" s="145" t="str">
        <f t="shared" si="0"/>
        <v/>
      </c>
      <c r="C46" s="495">
        <f>IF(D11="","-",+C45+1)</f>
        <v>2043</v>
      </c>
      <c r="D46" s="508">
        <f>IF(F45+SUM(E$17:E45)=D$10,F45,D$10-SUM(E$17:E45))</f>
        <v>1833873.0891822923</v>
      </c>
      <c r="E46" s="509">
        <f t="shared" si="13"/>
        <v>309639.33333333331</v>
      </c>
      <c r="F46" s="510">
        <f t="shared" si="14"/>
        <v>1524233.7558489591</v>
      </c>
      <c r="G46" s="511">
        <f t="shared" si="15"/>
        <v>502325.44540991588</v>
      </c>
      <c r="H46" s="477">
        <f t="shared" si="16"/>
        <v>502325.44540991588</v>
      </c>
      <c r="I46" s="500">
        <f t="shared" si="6"/>
        <v>0</v>
      </c>
      <c r="J46" s="500"/>
      <c r="K46" s="512"/>
      <c r="L46" s="504">
        <f t="shared" si="17"/>
        <v>0</v>
      </c>
      <c r="M46" s="512"/>
      <c r="N46" s="504">
        <f t="shared" si="4"/>
        <v>0</v>
      </c>
      <c r="O46" s="504">
        <f t="shared" si="5"/>
        <v>0</v>
      </c>
      <c r="P46" s="278"/>
      <c r="R46" s="243"/>
      <c r="S46" s="243"/>
      <c r="T46" s="243"/>
      <c r="U46" s="243"/>
    </row>
    <row r="47" spans="2:21">
      <c r="B47" s="145" t="str">
        <f t="shared" si="0"/>
        <v/>
      </c>
      <c r="C47" s="495">
        <f>IF(D11="","-",+C46+1)</f>
        <v>2044</v>
      </c>
      <c r="D47" s="508">
        <f>IF(F46+SUM(E$17:E46)=D$10,F46,D$10-SUM(E$17:E46))</f>
        <v>1524233.7558489591</v>
      </c>
      <c r="E47" s="509">
        <f t="shared" si="13"/>
        <v>309639.33333333331</v>
      </c>
      <c r="F47" s="510">
        <f t="shared" si="14"/>
        <v>1214594.4225156258</v>
      </c>
      <c r="G47" s="511">
        <f t="shared" si="15"/>
        <v>466791.61516609008</v>
      </c>
      <c r="H47" s="477">
        <f t="shared" si="16"/>
        <v>466791.61516609008</v>
      </c>
      <c r="I47" s="500">
        <f t="shared" si="6"/>
        <v>0</v>
      </c>
      <c r="J47" s="500"/>
      <c r="K47" s="512"/>
      <c r="L47" s="504">
        <f t="shared" si="17"/>
        <v>0</v>
      </c>
      <c r="M47" s="512"/>
      <c r="N47" s="504">
        <f t="shared" si="4"/>
        <v>0</v>
      </c>
      <c r="O47" s="504">
        <f t="shared" si="5"/>
        <v>0</v>
      </c>
      <c r="P47" s="278"/>
      <c r="R47" s="243"/>
      <c r="S47" s="243"/>
      <c r="T47" s="243"/>
      <c r="U47" s="243"/>
    </row>
    <row r="48" spans="2:21">
      <c r="B48" s="145" t="str">
        <f t="shared" si="0"/>
        <v/>
      </c>
      <c r="C48" s="495">
        <f>IF(D11="","-",+C47+1)</f>
        <v>2045</v>
      </c>
      <c r="D48" s="508">
        <f>IF(F47+SUM(E$17:E47)=D$10,F47,D$10-SUM(E$17:E47))</f>
        <v>1214594.4225156258</v>
      </c>
      <c r="E48" s="509">
        <f t="shared" si="13"/>
        <v>309639.33333333331</v>
      </c>
      <c r="F48" s="510">
        <f t="shared" si="14"/>
        <v>904955.08918229258</v>
      </c>
      <c r="G48" s="511">
        <f t="shared" si="15"/>
        <v>431257.78492226428</v>
      </c>
      <c r="H48" s="477">
        <f t="shared" si="16"/>
        <v>431257.78492226428</v>
      </c>
      <c r="I48" s="500">
        <f t="shared" si="6"/>
        <v>0</v>
      </c>
      <c r="J48" s="500"/>
      <c r="K48" s="512"/>
      <c r="L48" s="504">
        <f t="shared" si="17"/>
        <v>0</v>
      </c>
      <c r="M48" s="512"/>
      <c r="N48" s="504">
        <f t="shared" si="4"/>
        <v>0</v>
      </c>
      <c r="O48" s="504">
        <f t="shared" si="5"/>
        <v>0</v>
      </c>
      <c r="P48" s="278"/>
      <c r="R48" s="243"/>
      <c r="S48" s="243"/>
      <c r="T48" s="243"/>
      <c r="U48" s="243"/>
    </row>
    <row r="49" spans="2:21">
      <c r="B49" s="145" t="str">
        <f t="shared" si="0"/>
        <v/>
      </c>
      <c r="C49" s="495">
        <f>IF(D11="","-",+C48+1)</f>
        <v>2046</v>
      </c>
      <c r="D49" s="508">
        <f>IF(F48+SUM(E$17:E48)=D$10,F48,D$10-SUM(E$17:E48))</f>
        <v>904955.08918229258</v>
      </c>
      <c r="E49" s="509">
        <f t="shared" si="13"/>
        <v>309639.33333333331</v>
      </c>
      <c r="F49" s="510">
        <f t="shared" si="14"/>
        <v>595315.75584895932</v>
      </c>
      <c r="G49" s="511">
        <f t="shared" si="15"/>
        <v>395723.95467843849</v>
      </c>
      <c r="H49" s="477">
        <f t="shared" si="16"/>
        <v>395723.95467843849</v>
      </c>
      <c r="I49" s="500">
        <f t="shared" si="6"/>
        <v>0</v>
      </c>
      <c r="J49" s="500"/>
      <c r="K49" s="512"/>
      <c r="L49" s="504">
        <f t="shared" si="17"/>
        <v>0</v>
      </c>
      <c r="M49" s="512"/>
      <c r="N49" s="504">
        <f t="shared" si="4"/>
        <v>0</v>
      </c>
      <c r="O49" s="504">
        <f t="shared" si="5"/>
        <v>0</v>
      </c>
      <c r="P49" s="278"/>
      <c r="R49" s="243"/>
      <c r="S49" s="243"/>
      <c r="T49" s="243"/>
      <c r="U49" s="243"/>
    </row>
    <row r="50" spans="2:21">
      <c r="B50" s="145" t="str">
        <f t="shared" si="0"/>
        <v/>
      </c>
      <c r="C50" s="495">
        <f>IF(D11="","-",+C49+1)</f>
        <v>2047</v>
      </c>
      <c r="D50" s="508">
        <f>IF(F49+SUM(E$17:E49)=D$10,F49,D$10-SUM(E$17:E49))</f>
        <v>595315.75584895932</v>
      </c>
      <c r="E50" s="509">
        <f t="shared" si="13"/>
        <v>309639.33333333331</v>
      </c>
      <c r="F50" s="510">
        <f t="shared" si="14"/>
        <v>285676.42251562601</v>
      </c>
      <c r="G50" s="511">
        <f t="shared" si="15"/>
        <v>360190.12443461269</v>
      </c>
      <c r="H50" s="477">
        <f t="shared" si="16"/>
        <v>360190.12443461269</v>
      </c>
      <c r="I50" s="500">
        <f t="shared" si="6"/>
        <v>0</v>
      </c>
      <c r="J50" s="500"/>
      <c r="K50" s="512"/>
      <c r="L50" s="504">
        <f t="shared" si="17"/>
        <v>0</v>
      </c>
      <c r="M50" s="512"/>
      <c r="N50" s="504">
        <f t="shared" si="4"/>
        <v>0</v>
      </c>
      <c r="O50" s="504">
        <f t="shared" si="5"/>
        <v>0</v>
      </c>
      <c r="P50" s="278"/>
      <c r="R50" s="243"/>
      <c r="S50" s="243"/>
      <c r="T50" s="243"/>
      <c r="U50" s="243"/>
    </row>
    <row r="51" spans="2:21">
      <c r="B51" s="145" t="str">
        <f t="shared" si="0"/>
        <v/>
      </c>
      <c r="C51" s="495">
        <f>IF(D11="","-",+C50+1)</f>
        <v>2048</v>
      </c>
      <c r="D51" s="508">
        <f>IF(F50+SUM(E$17:E50)=D$10,F50,D$10-SUM(E$17:E50))</f>
        <v>285676.42251562601</v>
      </c>
      <c r="E51" s="509">
        <f t="shared" si="13"/>
        <v>285676.42251562601</v>
      </c>
      <c r="F51" s="510">
        <f t="shared" si="14"/>
        <v>0</v>
      </c>
      <c r="G51" s="511">
        <f t="shared" si="15"/>
        <v>302068.36050530925</v>
      </c>
      <c r="H51" s="477">
        <f t="shared" si="16"/>
        <v>302068.36050530925</v>
      </c>
      <c r="I51" s="500">
        <f t="shared" si="6"/>
        <v>0</v>
      </c>
      <c r="J51" s="500"/>
      <c r="K51" s="512"/>
      <c r="L51" s="504">
        <f t="shared" si="17"/>
        <v>0</v>
      </c>
      <c r="M51" s="512"/>
      <c r="N51" s="504">
        <f t="shared" si="4"/>
        <v>0</v>
      </c>
      <c r="O51" s="504">
        <f t="shared" si="5"/>
        <v>0</v>
      </c>
      <c r="P51" s="278"/>
      <c r="R51" s="243"/>
      <c r="S51" s="243"/>
      <c r="T51" s="243"/>
      <c r="U51" s="243"/>
    </row>
    <row r="52" spans="2:21">
      <c r="B52" s="145" t="str">
        <f t="shared" si="0"/>
        <v/>
      </c>
      <c r="C52" s="495">
        <f>IF(D11="","-",+C51+1)</f>
        <v>2049</v>
      </c>
      <c r="D52" s="508">
        <f>IF(F51+SUM(E$17:E51)=D$10,F51,D$10-SUM(E$17:E51))</f>
        <v>0</v>
      </c>
      <c r="E52" s="509">
        <f t="shared" si="13"/>
        <v>0</v>
      </c>
      <c r="F52" s="510">
        <f t="shared" si="14"/>
        <v>0</v>
      </c>
      <c r="G52" s="511">
        <f t="shared" si="15"/>
        <v>0</v>
      </c>
      <c r="H52" s="477">
        <f t="shared" si="16"/>
        <v>0</v>
      </c>
      <c r="I52" s="500">
        <f t="shared" si="6"/>
        <v>0</v>
      </c>
      <c r="J52" s="500"/>
      <c r="K52" s="512"/>
      <c r="L52" s="504">
        <f t="shared" si="17"/>
        <v>0</v>
      </c>
      <c r="M52" s="512"/>
      <c r="N52" s="504">
        <f t="shared" si="4"/>
        <v>0</v>
      </c>
      <c r="O52" s="504">
        <f t="shared" si="5"/>
        <v>0</v>
      </c>
      <c r="P52" s="278"/>
      <c r="R52" s="243"/>
      <c r="S52" s="243"/>
      <c r="T52" s="243"/>
      <c r="U52" s="243"/>
    </row>
    <row r="53" spans="2:21">
      <c r="B53" s="145" t="str">
        <f t="shared" si="0"/>
        <v/>
      </c>
      <c r="C53" s="495">
        <f>IF(D11="","-",+C52+1)</f>
        <v>2050</v>
      </c>
      <c r="D53" s="508">
        <f>IF(F52+SUM(E$17:E52)=D$10,F52,D$10-SUM(E$17:E52))</f>
        <v>0</v>
      </c>
      <c r="E53" s="509">
        <f t="shared" si="13"/>
        <v>0</v>
      </c>
      <c r="F53" s="510">
        <f t="shared" si="14"/>
        <v>0</v>
      </c>
      <c r="G53" s="511">
        <f t="shared" si="15"/>
        <v>0</v>
      </c>
      <c r="H53" s="477">
        <f t="shared" si="16"/>
        <v>0</v>
      </c>
      <c r="I53" s="500">
        <f t="shared" si="6"/>
        <v>0</v>
      </c>
      <c r="J53" s="500"/>
      <c r="K53" s="512"/>
      <c r="L53" s="504">
        <f t="shared" si="17"/>
        <v>0</v>
      </c>
      <c r="M53" s="512"/>
      <c r="N53" s="504">
        <f t="shared" si="4"/>
        <v>0</v>
      </c>
      <c r="O53" s="504">
        <f t="shared" si="5"/>
        <v>0</v>
      </c>
      <c r="P53" s="278"/>
      <c r="R53" s="243"/>
      <c r="S53" s="243"/>
      <c r="T53" s="243"/>
      <c r="U53" s="243"/>
    </row>
    <row r="54" spans="2:21">
      <c r="B54" s="145" t="str">
        <f t="shared" si="0"/>
        <v/>
      </c>
      <c r="C54" s="495">
        <f>IF(D11="","-",+C53+1)</f>
        <v>2051</v>
      </c>
      <c r="D54" s="508">
        <f>IF(F53+SUM(E$17:E53)=D$10,F53,D$10-SUM(E$17:E53))</f>
        <v>0</v>
      </c>
      <c r="E54" s="509">
        <f t="shared" si="13"/>
        <v>0</v>
      </c>
      <c r="F54" s="510">
        <f t="shared" si="14"/>
        <v>0</v>
      </c>
      <c r="G54" s="511">
        <f t="shared" si="15"/>
        <v>0</v>
      </c>
      <c r="H54" s="477">
        <f t="shared" si="16"/>
        <v>0</v>
      </c>
      <c r="I54" s="500">
        <f t="shared" si="6"/>
        <v>0</v>
      </c>
      <c r="J54" s="500"/>
      <c r="K54" s="512"/>
      <c r="L54" s="504">
        <f t="shared" si="17"/>
        <v>0</v>
      </c>
      <c r="M54" s="512"/>
      <c r="N54" s="504">
        <f t="shared" si="4"/>
        <v>0</v>
      </c>
      <c r="O54" s="504">
        <f t="shared" si="5"/>
        <v>0</v>
      </c>
      <c r="P54" s="278"/>
      <c r="R54" s="243"/>
      <c r="S54" s="243"/>
      <c r="T54" s="243"/>
      <c r="U54" s="243"/>
    </row>
    <row r="55" spans="2:21">
      <c r="B55" s="145" t="str">
        <f t="shared" si="0"/>
        <v/>
      </c>
      <c r="C55" s="495">
        <f>IF(D11="","-",+C54+1)</f>
        <v>2052</v>
      </c>
      <c r="D55" s="508">
        <f>IF(F54+SUM(E$17:E54)=D$10,F54,D$10-SUM(E$17:E54))</f>
        <v>0</v>
      </c>
      <c r="E55" s="509">
        <f t="shared" si="13"/>
        <v>0</v>
      </c>
      <c r="F55" s="510">
        <f t="shared" si="14"/>
        <v>0</v>
      </c>
      <c r="G55" s="511">
        <f t="shared" si="15"/>
        <v>0</v>
      </c>
      <c r="H55" s="477">
        <f t="shared" si="16"/>
        <v>0</v>
      </c>
      <c r="I55" s="500">
        <f t="shared" si="6"/>
        <v>0</v>
      </c>
      <c r="J55" s="500"/>
      <c r="K55" s="512"/>
      <c r="L55" s="504">
        <f t="shared" si="17"/>
        <v>0</v>
      </c>
      <c r="M55" s="512"/>
      <c r="N55" s="504">
        <f t="shared" si="4"/>
        <v>0</v>
      </c>
      <c r="O55" s="504">
        <f t="shared" si="5"/>
        <v>0</v>
      </c>
      <c r="P55" s="278"/>
      <c r="R55" s="243"/>
      <c r="S55" s="243"/>
      <c r="T55" s="243"/>
      <c r="U55" s="243"/>
    </row>
    <row r="56" spans="2:21">
      <c r="B56" s="145" t="str">
        <f t="shared" si="0"/>
        <v/>
      </c>
      <c r="C56" s="495">
        <f>IF(D11="","-",+C55+1)</f>
        <v>2053</v>
      </c>
      <c r="D56" s="508">
        <f>IF(F55+SUM(E$17:E55)=D$10,F55,D$10-SUM(E$17:E55))</f>
        <v>0</v>
      </c>
      <c r="E56" s="509">
        <f t="shared" si="13"/>
        <v>0</v>
      </c>
      <c r="F56" s="510">
        <f t="shared" si="14"/>
        <v>0</v>
      </c>
      <c r="G56" s="511">
        <f t="shared" si="15"/>
        <v>0</v>
      </c>
      <c r="H56" s="477">
        <f t="shared" si="16"/>
        <v>0</v>
      </c>
      <c r="I56" s="500">
        <f t="shared" si="6"/>
        <v>0</v>
      </c>
      <c r="J56" s="500"/>
      <c r="K56" s="512"/>
      <c r="L56" s="504">
        <f t="shared" si="17"/>
        <v>0</v>
      </c>
      <c r="M56" s="512"/>
      <c r="N56" s="504">
        <f t="shared" si="4"/>
        <v>0</v>
      </c>
      <c r="O56" s="504">
        <f t="shared" si="5"/>
        <v>0</v>
      </c>
      <c r="P56" s="278"/>
      <c r="R56" s="243"/>
      <c r="S56" s="243"/>
      <c r="T56" s="243"/>
      <c r="U56" s="243"/>
    </row>
    <row r="57" spans="2:21">
      <c r="B57" s="145" t="str">
        <f t="shared" si="0"/>
        <v/>
      </c>
      <c r="C57" s="495">
        <f>IF(D11="","-",+C56+1)</f>
        <v>2054</v>
      </c>
      <c r="D57" s="508">
        <f>IF(F56+SUM(E$17:E56)=D$10,F56,D$10-SUM(E$17:E56))</f>
        <v>0</v>
      </c>
      <c r="E57" s="509">
        <f t="shared" si="13"/>
        <v>0</v>
      </c>
      <c r="F57" s="510">
        <f t="shared" si="14"/>
        <v>0</v>
      </c>
      <c r="G57" s="511">
        <f t="shared" si="15"/>
        <v>0</v>
      </c>
      <c r="H57" s="477">
        <f t="shared" si="16"/>
        <v>0</v>
      </c>
      <c r="I57" s="500">
        <f t="shared" si="6"/>
        <v>0</v>
      </c>
      <c r="J57" s="500"/>
      <c r="K57" s="512"/>
      <c r="L57" s="504">
        <f t="shared" si="17"/>
        <v>0</v>
      </c>
      <c r="M57" s="512"/>
      <c r="N57" s="504">
        <f t="shared" si="4"/>
        <v>0</v>
      </c>
      <c r="O57" s="504">
        <f t="shared" si="5"/>
        <v>0</v>
      </c>
      <c r="P57" s="278"/>
      <c r="R57" s="243"/>
      <c r="S57" s="243"/>
      <c r="T57" s="243"/>
      <c r="U57" s="243"/>
    </row>
    <row r="58" spans="2:21">
      <c r="B58" s="145" t="str">
        <f t="shared" si="0"/>
        <v/>
      </c>
      <c r="C58" s="495">
        <f>IF(D11="","-",+C57+1)</f>
        <v>2055</v>
      </c>
      <c r="D58" s="508">
        <f>IF(F57+SUM(E$17:E57)=D$10,F57,D$10-SUM(E$17:E57))</f>
        <v>0</v>
      </c>
      <c r="E58" s="509">
        <f t="shared" si="13"/>
        <v>0</v>
      </c>
      <c r="F58" s="510">
        <f t="shared" si="14"/>
        <v>0</v>
      </c>
      <c r="G58" s="511">
        <f t="shared" si="15"/>
        <v>0</v>
      </c>
      <c r="H58" s="477">
        <f t="shared" si="16"/>
        <v>0</v>
      </c>
      <c r="I58" s="500">
        <f t="shared" si="6"/>
        <v>0</v>
      </c>
      <c r="J58" s="500"/>
      <c r="K58" s="512"/>
      <c r="L58" s="504">
        <f t="shared" si="17"/>
        <v>0</v>
      </c>
      <c r="M58" s="512"/>
      <c r="N58" s="504">
        <f t="shared" si="4"/>
        <v>0</v>
      </c>
      <c r="O58" s="504">
        <f t="shared" si="5"/>
        <v>0</v>
      </c>
      <c r="P58" s="278"/>
      <c r="R58" s="243"/>
      <c r="S58" s="243"/>
      <c r="T58" s="243"/>
      <c r="U58" s="243"/>
    </row>
    <row r="59" spans="2:21">
      <c r="B59" s="145" t="str">
        <f t="shared" si="0"/>
        <v/>
      </c>
      <c r="C59" s="495">
        <f>IF(D11="","-",+C58+1)</f>
        <v>2056</v>
      </c>
      <c r="D59" s="508">
        <f>IF(F58+SUM(E$17:E58)=D$10,F58,D$10-SUM(E$17:E58))</f>
        <v>0</v>
      </c>
      <c r="E59" s="509">
        <f t="shared" si="13"/>
        <v>0</v>
      </c>
      <c r="F59" s="510">
        <f t="shared" si="14"/>
        <v>0</v>
      </c>
      <c r="G59" s="511">
        <f t="shared" si="15"/>
        <v>0</v>
      </c>
      <c r="H59" s="477">
        <f t="shared" si="16"/>
        <v>0</v>
      </c>
      <c r="I59" s="500">
        <f t="shared" si="6"/>
        <v>0</v>
      </c>
      <c r="J59" s="500"/>
      <c r="K59" s="512"/>
      <c r="L59" s="504">
        <f t="shared" si="17"/>
        <v>0</v>
      </c>
      <c r="M59" s="512"/>
      <c r="N59" s="504">
        <f t="shared" si="4"/>
        <v>0</v>
      </c>
      <c r="O59" s="504">
        <f t="shared" si="5"/>
        <v>0</v>
      </c>
      <c r="P59" s="278"/>
      <c r="R59" s="243"/>
      <c r="S59" s="243"/>
      <c r="T59" s="243"/>
      <c r="U59" s="243"/>
    </row>
    <row r="60" spans="2:21">
      <c r="B60" s="145" t="str">
        <f t="shared" si="0"/>
        <v/>
      </c>
      <c r="C60" s="495">
        <f>IF(D11="","-",+C59+1)</f>
        <v>2057</v>
      </c>
      <c r="D60" s="508">
        <f>IF(F59+SUM(E$17:E59)=D$10,F59,D$10-SUM(E$17:E59))</f>
        <v>0</v>
      </c>
      <c r="E60" s="509">
        <f t="shared" si="13"/>
        <v>0</v>
      </c>
      <c r="F60" s="510">
        <f t="shared" si="14"/>
        <v>0</v>
      </c>
      <c r="G60" s="511">
        <f t="shared" si="15"/>
        <v>0</v>
      </c>
      <c r="H60" s="477">
        <f t="shared" si="16"/>
        <v>0</v>
      </c>
      <c r="I60" s="500">
        <f t="shared" si="6"/>
        <v>0</v>
      </c>
      <c r="J60" s="500"/>
      <c r="K60" s="512"/>
      <c r="L60" s="504">
        <f t="shared" si="17"/>
        <v>0</v>
      </c>
      <c r="M60" s="512"/>
      <c r="N60" s="504">
        <f t="shared" si="4"/>
        <v>0</v>
      </c>
      <c r="O60" s="504">
        <f t="shared" si="5"/>
        <v>0</v>
      </c>
      <c r="P60" s="278"/>
      <c r="R60" s="243"/>
      <c r="S60" s="243"/>
      <c r="T60" s="243"/>
      <c r="U60" s="243"/>
    </row>
    <row r="61" spans="2:21">
      <c r="B61" s="145" t="str">
        <f t="shared" si="0"/>
        <v/>
      </c>
      <c r="C61" s="495">
        <f>IF(D11="","-",+C60+1)</f>
        <v>2058</v>
      </c>
      <c r="D61" s="508">
        <f>IF(F60+SUM(E$17:E60)=D$10,F60,D$10-SUM(E$17:E60))</f>
        <v>0</v>
      </c>
      <c r="E61" s="509">
        <f t="shared" si="13"/>
        <v>0</v>
      </c>
      <c r="F61" s="510">
        <f t="shared" si="14"/>
        <v>0</v>
      </c>
      <c r="G61" s="511">
        <f t="shared" si="15"/>
        <v>0</v>
      </c>
      <c r="H61" s="477">
        <f t="shared" si="16"/>
        <v>0</v>
      </c>
      <c r="I61" s="500">
        <f t="shared" si="6"/>
        <v>0</v>
      </c>
      <c r="J61" s="500"/>
      <c r="K61" s="512"/>
      <c r="L61" s="504">
        <f t="shared" si="17"/>
        <v>0</v>
      </c>
      <c r="M61" s="512"/>
      <c r="N61" s="504">
        <f t="shared" si="4"/>
        <v>0</v>
      </c>
      <c r="O61" s="504">
        <f t="shared" si="5"/>
        <v>0</v>
      </c>
      <c r="P61" s="278"/>
      <c r="R61" s="243"/>
      <c r="S61" s="243"/>
      <c r="T61" s="243"/>
      <c r="U61" s="243"/>
    </row>
    <row r="62" spans="2:21">
      <c r="B62" s="145" t="str">
        <f t="shared" si="0"/>
        <v/>
      </c>
      <c r="C62" s="495">
        <f>IF(D11="","-",+C61+1)</f>
        <v>2059</v>
      </c>
      <c r="D62" s="508">
        <f>IF(F61+SUM(E$17:E61)=D$10,F61,D$10-SUM(E$17:E61))</f>
        <v>0</v>
      </c>
      <c r="E62" s="509">
        <f t="shared" si="13"/>
        <v>0</v>
      </c>
      <c r="F62" s="510">
        <f t="shared" si="14"/>
        <v>0</v>
      </c>
      <c r="G62" s="511">
        <f t="shared" si="15"/>
        <v>0</v>
      </c>
      <c r="H62" s="477">
        <f t="shared" si="16"/>
        <v>0</v>
      </c>
      <c r="I62" s="500">
        <f t="shared" si="6"/>
        <v>0</v>
      </c>
      <c r="J62" s="500"/>
      <c r="K62" s="512"/>
      <c r="L62" s="504">
        <f t="shared" si="17"/>
        <v>0</v>
      </c>
      <c r="M62" s="512"/>
      <c r="N62" s="504">
        <f t="shared" si="4"/>
        <v>0</v>
      </c>
      <c r="O62" s="504">
        <f t="shared" si="5"/>
        <v>0</v>
      </c>
      <c r="P62" s="278"/>
      <c r="R62" s="243"/>
      <c r="S62" s="243"/>
      <c r="T62" s="243"/>
      <c r="U62" s="243"/>
    </row>
    <row r="63" spans="2:21">
      <c r="B63" s="145" t="str">
        <f t="shared" si="0"/>
        <v/>
      </c>
      <c r="C63" s="495">
        <f>IF(D11="","-",+C62+1)</f>
        <v>2060</v>
      </c>
      <c r="D63" s="508">
        <f>IF(F62+SUM(E$17:E62)=D$10,F62,D$10-SUM(E$17:E62))</f>
        <v>0</v>
      </c>
      <c r="E63" s="509">
        <f t="shared" si="13"/>
        <v>0</v>
      </c>
      <c r="F63" s="510">
        <f t="shared" si="14"/>
        <v>0</v>
      </c>
      <c r="G63" s="511">
        <f t="shared" si="15"/>
        <v>0</v>
      </c>
      <c r="H63" s="477">
        <f t="shared" si="16"/>
        <v>0</v>
      </c>
      <c r="I63" s="500">
        <f t="shared" si="6"/>
        <v>0</v>
      </c>
      <c r="J63" s="500"/>
      <c r="K63" s="512"/>
      <c r="L63" s="504">
        <f t="shared" si="17"/>
        <v>0</v>
      </c>
      <c r="M63" s="512"/>
      <c r="N63" s="504">
        <f t="shared" si="4"/>
        <v>0</v>
      </c>
      <c r="O63" s="504">
        <f t="shared" si="5"/>
        <v>0</v>
      </c>
      <c r="P63" s="278"/>
      <c r="R63" s="243"/>
      <c r="S63" s="243"/>
      <c r="T63" s="243"/>
      <c r="U63" s="243"/>
    </row>
    <row r="64" spans="2:21">
      <c r="B64" s="145" t="str">
        <f t="shared" si="0"/>
        <v/>
      </c>
      <c r="C64" s="495">
        <f>IF(D11="","-",+C63+1)</f>
        <v>2061</v>
      </c>
      <c r="D64" s="508">
        <f>IF(F63+SUM(E$17:E63)=D$10,F63,D$10-SUM(E$17:E63))</f>
        <v>0</v>
      </c>
      <c r="E64" s="509">
        <f t="shared" si="13"/>
        <v>0</v>
      </c>
      <c r="F64" s="510">
        <f t="shared" si="14"/>
        <v>0</v>
      </c>
      <c r="G64" s="511">
        <f t="shared" si="15"/>
        <v>0</v>
      </c>
      <c r="H64" s="477">
        <f t="shared" si="16"/>
        <v>0</v>
      </c>
      <c r="I64" s="500">
        <f t="shared" si="6"/>
        <v>0</v>
      </c>
      <c r="J64" s="500"/>
      <c r="K64" s="512"/>
      <c r="L64" s="504">
        <f t="shared" si="17"/>
        <v>0</v>
      </c>
      <c r="M64" s="512"/>
      <c r="N64" s="504">
        <f t="shared" si="4"/>
        <v>0</v>
      </c>
      <c r="O64" s="504">
        <f t="shared" si="5"/>
        <v>0</v>
      </c>
      <c r="P64" s="278"/>
      <c r="R64" s="243"/>
      <c r="S64" s="243"/>
      <c r="T64" s="243"/>
      <c r="U64" s="243"/>
    </row>
    <row r="65" spans="2:21">
      <c r="B65" s="145" t="str">
        <f t="shared" si="0"/>
        <v/>
      </c>
      <c r="C65" s="495">
        <f>IF(D11="","-",+C64+1)</f>
        <v>2062</v>
      </c>
      <c r="D65" s="508">
        <f>IF(F64+SUM(E$17:E64)=D$10,F64,D$10-SUM(E$17:E64))</f>
        <v>0</v>
      </c>
      <c r="E65" s="509">
        <f t="shared" si="13"/>
        <v>0</v>
      </c>
      <c r="F65" s="510">
        <f t="shared" si="14"/>
        <v>0</v>
      </c>
      <c r="G65" s="511">
        <f t="shared" si="15"/>
        <v>0</v>
      </c>
      <c r="H65" s="477">
        <f t="shared" si="16"/>
        <v>0</v>
      </c>
      <c r="I65" s="500">
        <f t="shared" si="6"/>
        <v>0</v>
      </c>
      <c r="J65" s="500"/>
      <c r="K65" s="512"/>
      <c r="L65" s="504">
        <f t="shared" si="17"/>
        <v>0</v>
      </c>
      <c r="M65" s="512"/>
      <c r="N65" s="504">
        <f t="shared" si="4"/>
        <v>0</v>
      </c>
      <c r="O65" s="504">
        <f t="shared" si="5"/>
        <v>0</v>
      </c>
      <c r="P65" s="278"/>
      <c r="R65" s="243"/>
      <c r="S65" s="243"/>
      <c r="T65" s="243"/>
      <c r="U65" s="243"/>
    </row>
    <row r="66" spans="2:21">
      <c r="B66" s="145" t="str">
        <f t="shared" si="0"/>
        <v/>
      </c>
      <c r="C66" s="495">
        <f>IF(D11="","-",+C65+1)</f>
        <v>2063</v>
      </c>
      <c r="D66" s="508">
        <f>IF(F65+SUM(E$17:E65)=D$10,F65,D$10-SUM(E$17:E65))</f>
        <v>0</v>
      </c>
      <c r="E66" s="509">
        <f t="shared" si="13"/>
        <v>0</v>
      </c>
      <c r="F66" s="510">
        <f t="shared" si="14"/>
        <v>0</v>
      </c>
      <c r="G66" s="511">
        <f t="shared" si="15"/>
        <v>0</v>
      </c>
      <c r="H66" s="477">
        <f t="shared" si="16"/>
        <v>0</v>
      </c>
      <c r="I66" s="500">
        <f t="shared" si="6"/>
        <v>0</v>
      </c>
      <c r="J66" s="500"/>
      <c r="K66" s="512"/>
      <c r="L66" s="504">
        <f t="shared" si="17"/>
        <v>0</v>
      </c>
      <c r="M66" s="512"/>
      <c r="N66" s="504">
        <f t="shared" si="4"/>
        <v>0</v>
      </c>
      <c r="O66" s="504">
        <f t="shared" si="5"/>
        <v>0</v>
      </c>
      <c r="P66" s="278"/>
      <c r="R66" s="243"/>
      <c r="S66" s="243"/>
      <c r="T66" s="243"/>
      <c r="U66" s="243"/>
    </row>
    <row r="67" spans="2:21">
      <c r="B67" s="145" t="str">
        <f t="shared" si="0"/>
        <v/>
      </c>
      <c r="C67" s="495">
        <f>IF(D11="","-",+C66+1)</f>
        <v>2064</v>
      </c>
      <c r="D67" s="508">
        <f>IF(F66+SUM(E$17:E66)=D$10,F66,D$10-SUM(E$17:E66))</f>
        <v>0</v>
      </c>
      <c r="E67" s="509">
        <f t="shared" si="13"/>
        <v>0</v>
      </c>
      <c r="F67" s="510">
        <f t="shared" si="14"/>
        <v>0</v>
      </c>
      <c r="G67" s="511">
        <f t="shared" si="15"/>
        <v>0</v>
      </c>
      <c r="H67" s="477">
        <f t="shared" si="16"/>
        <v>0</v>
      </c>
      <c r="I67" s="500">
        <f t="shared" si="6"/>
        <v>0</v>
      </c>
      <c r="J67" s="500"/>
      <c r="K67" s="512"/>
      <c r="L67" s="504">
        <f t="shared" si="17"/>
        <v>0</v>
      </c>
      <c r="M67" s="512"/>
      <c r="N67" s="504">
        <f t="shared" si="4"/>
        <v>0</v>
      </c>
      <c r="O67" s="504">
        <f t="shared" si="5"/>
        <v>0</v>
      </c>
      <c r="P67" s="278"/>
      <c r="R67" s="243"/>
      <c r="S67" s="243"/>
      <c r="T67" s="243"/>
      <c r="U67" s="243"/>
    </row>
    <row r="68" spans="2:21">
      <c r="B68" s="145" t="str">
        <f t="shared" si="0"/>
        <v/>
      </c>
      <c r="C68" s="495">
        <f>IF(D11="","-",+C67+1)</f>
        <v>2065</v>
      </c>
      <c r="D68" s="508">
        <f>IF(F67+SUM(E$17:E67)=D$10,F67,D$10-SUM(E$17:E67))</f>
        <v>0</v>
      </c>
      <c r="E68" s="509">
        <f t="shared" si="13"/>
        <v>0</v>
      </c>
      <c r="F68" s="510">
        <f t="shared" si="14"/>
        <v>0</v>
      </c>
      <c r="G68" s="511">
        <f t="shared" si="15"/>
        <v>0</v>
      </c>
      <c r="H68" s="477">
        <f t="shared" si="16"/>
        <v>0</v>
      </c>
      <c r="I68" s="500">
        <f t="shared" si="6"/>
        <v>0</v>
      </c>
      <c r="J68" s="500"/>
      <c r="K68" s="512"/>
      <c r="L68" s="504">
        <f t="shared" si="17"/>
        <v>0</v>
      </c>
      <c r="M68" s="512"/>
      <c r="N68" s="504">
        <f t="shared" si="4"/>
        <v>0</v>
      </c>
      <c r="O68" s="504">
        <f t="shared" si="5"/>
        <v>0</v>
      </c>
      <c r="P68" s="278"/>
      <c r="R68" s="243"/>
      <c r="S68" s="243"/>
      <c r="T68" s="243"/>
      <c r="U68" s="243"/>
    </row>
    <row r="69" spans="2:21">
      <c r="B69" s="145" t="str">
        <f t="shared" si="0"/>
        <v/>
      </c>
      <c r="C69" s="495">
        <f>IF(D11="","-",+C68+1)</f>
        <v>2066</v>
      </c>
      <c r="D69" s="508">
        <f>IF(F68+SUM(E$17:E68)=D$10,F68,D$10-SUM(E$17:E68))</f>
        <v>0</v>
      </c>
      <c r="E69" s="509">
        <f t="shared" si="13"/>
        <v>0</v>
      </c>
      <c r="F69" s="510">
        <f t="shared" si="14"/>
        <v>0</v>
      </c>
      <c r="G69" s="511">
        <f t="shared" si="15"/>
        <v>0</v>
      </c>
      <c r="H69" s="477">
        <f t="shared" si="16"/>
        <v>0</v>
      </c>
      <c r="I69" s="500">
        <f t="shared" si="6"/>
        <v>0</v>
      </c>
      <c r="J69" s="500"/>
      <c r="K69" s="512"/>
      <c r="L69" s="504">
        <f t="shared" si="17"/>
        <v>0</v>
      </c>
      <c r="M69" s="512"/>
      <c r="N69" s="504">
        <f t="shared" si="4"/>
        <v>0</v>
      </c>
      <c r="O69" s="504">
        <f t="shared" si="5"/>
        <v>0</v>
      </c>
      <c r="P69" s="278"/>
      <c r="R69" s="243"/>
      <c r="S69" s="243"/>
      <c r="T69" s="243"/>
      <c r="U69" s="243"/>
    </row>
    <row r="70" spans="2:21">
      <c r="B70" s="145" t="str">
        <f t="shared" si="0"/>
        <v/>
      </c>
      <c r="C70" s="495">
        <f>IF(D11="","-",+C69+1)</f>
        <v>2067</v>
      </c>
      <c r="D70" s="508">
        <f>IF(F69+SUM(E$17:E69)=D$10,F69,D$10-SUM(E$17:E69))</f>
        <v>0</v>
      </c>
      <c r="E70" s="509">
        <f t="shared" si="13"/>
        <v>0</v>
      </c>
      <c r="F70" s="510">
        <f t="shared" si="14"/>
        <v>0</v>
      </c>
      <c r="G70" s="511">
        <f t="shared" si="15"/>
        <v>0</v>
      </c>
      <c r="H70" s="477">
        <f t="shared" si="16"/>
        <v>0</v>
      </c>
      <c r="I70" s="500">
        <f t="shared" si="6"/>
        <v>0</v>
      </c>
      <c r="J70" s="500"/>
      <c r="K70" s="512"/>
      <c r="L70" s="504">
        <f t="shared" si="17"/>
        <v>0</v>
      </c>
      <c r="M70" s="512"/>
      <c r="N70" s="504">
        <f t="shared" si="4"/>
        <v>0</v>
      </c>
      <c r="O70" s="504">
        <f t="shared" si="5"/>
        <v>0</v>
      </c>
      <c r="P70" s="278"/>
      <c r="R70" s="243"/>
      <c r="S70" s="243"/>
      <c r="T70" s="243"/>
      <c r="U70" s="243"/>
    </row>
    <row r="71" spans="2:21">
      <c r="B71" s="145" t="str">
        <f t="shared" si="0"/>
        <v/>
      </c>
      <c r="C71" s="495">
        <f>IF(D11="","-",+C70+1)</f>
        <v>2068</v>
      </c>
      <c r="D71" s="508">
        <f>IF(F70+SUM(E$17:E70)=D$10,F70,D$10-SUM(E$17:E70))</f>
        <v>0</v>
      </c>
      <c r="E71" s="509">
        <f t="shared" si="13"/>
        <v>0</v>
      </c>
      <c r="F71" s="510">
        <f t="shared" si="14"/>
        <v>0</v>
      </c>
      <c r="G71" s="511">
        <f t="shared" si="15"/>
        <v>0</v>
      </c>
      <c r="H71" s="477">
        <f t="shared" si="16"/>
        <v>0</v>
      </c>
      <c r="I71" s="500">
        <f t="shared" si="6"/>
        <v>0</v>
      </c>
      <c r="J71" s="500"/>
      <c r="K71" s="512"/>
      <c r="L71" s="504">
        <f t="shared" si="17"/>
        <v>0</v>
      </c>
      <c r="M71" s="512"/>
      <c r="N71" s="504">
        <f t="shared" si="4"/>
        <v>0</v>
      </c>
      <c r="O71" s="504">
        <f t="shared" si="5"/>
        <v>0</v>
      </c>
      <c r="P71" s="278"/>
      <c r="R71" s="243"/>
      <c r="S71" s="243"/>
      <c r="T71" s="243"/>
      <c r="U71" s="243"/>
    </row>
    <row r="72" spans="2:21">
      <c r="B72" s="145" t="str">
        <f t="shared" si="0"/>
        <v/>
      </c>
      <c r="C72" s="495">
        <f>IF(D11="","-",+C71+1)</f>
        <v>2069</v>
      </c>
      <c r="D72" s="508">
        <f>IF(F71+SUM(E$17:E71)=D$10,F71,D$10-SUM(E$17:E71))</f>
        <v>0</v>
      </c>
      <c r="E72" s="509">
        <f t="shared" si="13"/>
        <v>0</v>
      </c>
      <c r="F72" s="510">
        <f t="shared" si="14"/>
        <v>0</v>
      </c>
      <c r="G72" s="511">
        <f t="shared" si="15"/>
        <v>0</v>
      </c>
      <c r="H72" s="477">
        <f t="shared" si="16"/>
        <v>0</v>
      </c>
      <c r="I72" s="500">
        <f t="shared" si="6"/>
        <v>0</v>
      </c>
      <c r="J72" s="500"/>
      <c r="K72" s="512"/>
      <c r="L72" s="504">
        <f t="shared" si="17"/>
        <v>0</v>
      </c>
      <c r="M72" s="512"/>
      <c r="N72" s="504">
        <f t="shared" si="4"/>
        <v>0</v>
      </c>
      <c r="O72" s="504">
        <f t="shared" si="5"/>
        <v>0</v>
      </c>
      <c r="P72" s="278"/>
      <c r="R72" s="243"/>
      <c r="S72" s="243"/>
      <c r="T72" s="243"/>
      <c r="U72" s="243"/>
    </row>
    <row r="73" spans="2:21" ht="13.5" thickBot="1">
      <c r="B73" s="145" t="str">
        <f t="shared" si="0"/>
        <v/>
      </c>
      <c r="C73" s="524">
        <f>IF(D11="","-",+C72+1)</f>
        <v>2070</v>
      </c>
      <c r="D73" s="525">
        <f>IF(F72+SUM(E$17:E72)=D$10,F72,D$10-SUM(E$17:E72))</f>
        <v>0</v>
      </c>
      <c r="E73" s="526">
        <f t="shared" si="13"/>
        <v>0</v>
      </c>
      <c r="F73" s="527">
        <f t="shared" si="14"/>
        <v>0</v>
      </c>
      <c r="G73" s="611">
        <f t="shared" si="15"/>
        <v>0</v>
      </c>
      <c r="H73" s="458">
        <f t="shared" si="16"/>
        <v>0</v>
      </c>
      <c r="I73" s="529">
        <f t="shared" si="6"/>
        <v>0</v>
      </c>
      <c r="J73" s="500"/>
      <c r="K73" s="530"/>
      <c r="L73" s="531">
        <f t="shared" si="17"/>
        <v>0</v>
      </c>
      <c r="M73" s="530"/>
      <c r="N73" s="531">
        <f t="shared" si="4"/>
        <v>0</v>
      </c>
      <c r="O73" s="531">
        <f t="shared" si="5"/>
        <v>0</v>
      </c>
      <c r="P73" s="278"/>
      <c r="R73" s="243"/>
      <c r="S73" s="243"/>
      <c r="T73" s="243"/>
      <c r="U73" s="243"/>
    </row>
    <row r="74" spans="2:21">
      <c r="C74" s="349" t="s">
        <v>75</v>
      </c>
      <c r="D74" s="294"/>
      <c r="E74" s="294">
        <f>SUM(E17:E73)</f>
        <v>10218098.000000002</v>
      </c>
      <c r="F74" s="294"/>
      <c r="G74" s="294">
        <f>SUM(G17:G73)</f>
        <v>30820053.53057516</v>
      </c>
      <c r="H74" s="294">
        <f>SUM(H17:H73)</f>
        <v>30820053.53057516</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438" t="str">
        <f ca="1">P1</f>
        <v>OKT Project 7 of 23</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2020</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1229743.0760443411</v>
      </c>
      <c r="N88" s="544">
        <f>IF(J93&lt;D11,0,VLOOKUP(J93,C17:O73,11))</f>
        <v>1229743.0760443411</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1290413.9410906809</v>
      </c>
      <c r="N89" s="548">
        <f>IF(J93&lt;D11,0,VLOOKUP(J93,C100:P155,7))</f>
        <v>1290413.9410906809</v>
      </c>
      <c r="O89" s="549">
        <f>+N89-M89</f>
        <v>0</v>
      </c>
      <c r="P89" s="243"/>
      <c r="Q89" s="243"/>
      <c r="R89" s="243"/>
      <c r="S89" s="243"/>
      <c r="T89" s="243"/>
      <c r="U89" s="243"/>
    </row>
    <row r="90" spans="1:21" ht="13.5" thickBot="1">
      <c r="C90" s="454" t="s">
        <v>82</v>
      </c>
      <c r="D90" s="550" t="str">
        <f>+D7</f>
        <v xml:space="preserve">Cornville Station Conversion </v>
      </c>
      <c r="E90" s="243"/>
      <c r="F90" s="243"/>
      <c r="G90" s="243"/>
      <c r="H90" s="243"/>
      <c r="I90" s="325"/>
      <c r="J90" s="325"/>
      <c r="K90" s="551"/>
      <c r="L90" s="552" t="s">
        <v>135</v>
      </c>
      <c r="M90" s="553">
        <f>+M89-M88</f>
        <v>60670.865046339808</v>
      </c>
      <c r="N90" s="553">
        <f>+N89-N88</f>
        <v>60670.865046339808</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TP2011093</v>
      </c>
      <c r="E92" s="558"/>
      <c r="F92" s="558"/>
      <c r="G92" s="558"/>
      <c r="H92" s="558"/>
      <c r="I92" s="558"/>
      <c r="J92" s="558"/>
      <c r="K92" s="560"/>
      <c r="P92" s="468"/>
      <c r="Q92" s="243"/>
      <c r="R92" s="243"/>
      <c r="S92" s="243"/>
      <c r="T92" s="243"/>
      <c r="U92" s="243"/>
    </row>
    <row r="93" spans="1:21">
      <c r="C93" s="472" t="s">
        <v>49</v>
      </c>
      <c r="D93" s="470">
        <f>IF(D11=I10,0,D10)</f>
        <v>10218098</v>
      </c>
      <c r="E93" s="248" t="s">
        <v>84</v>
      </c>
      <c r="H93" s="408"/>
      <c r="I93" s="408"/>
      <c r="J93" s="471">
        <f>+'OKT.WS.G.BPU.ATRR.True-up'!M16</f>
        <v>2020</v>
      </c>
      <c r="K93" s="467"/>
      <c r="L93" s="294" t="s">
        <v>85</v>
      </c>
      <c r="P93" s="278"/>
      <c r="Q93" s="243"/>
      <c r="R93" s="243"/>
      <c r="S93" s="243"/>
      <c r="T93" s="243"/>
      <c r="U93" s="243"/>
    </row>
    <row r="94" spans="1:21">
      <c r="C94" s="472" t="s">
        <v>52</v>
      </c>
      <c r="D94" s="561">
        <f>IF(D11=I10,"",D11)</f>
        <v>2014</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82">
        <f>IF(D11=I10,"",D12)</f>
        <v>10</v>
      </c>
      <c r="E95" s="472" t="s">
        <v>55</v>
      </c>
      <c r="F95" s="408"/>
      <c r="G95" s="408"/>
      <c r="J95" s="476">
        <f>'OKT.WS.G.BPU.ATRR.True-up'!$F$81</f>
        <v>0.11475877389767174</v>
      </c>
      <c r="K95" s="413"/>
      <c r="L95" s="145" t="s">
        <v>86</v>
      </c>
      <c r="P95" s="278"/>
      <c r="Q95" s="243"/>
      <c r="R95" s="243"/>
      <c r="S95" s="243"/>
      <c r="T95" s="243"/>
      <c r="U95" s="243"/>
    </row>
    <row r="96" spans="1:21">
      <c r="C96" s="472" t="s">
        <v>57</v>
      </c>
      <c r="D96" s="474">
        <f>'OKT.WS.G.BPU.ATRR.True-up'!F$93</f>
        <v>21</v>
      </c>
      <c r="E96" s="472" t="s">
        <v>58</v>
      </c>
      <c r="F96" s="408"/>
      <c r="G96" s="408"/>
      <c r="J96" s="476">
        <f>IF(H88="",J95,'OKT.WS.G.BPU.ATRR.True-up'!$F$80)</f>
        <v>0.11475877389767174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486576.09523809527</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B100" s="145" t="str">
        <f t="shared" ref="B100:B155" si="18">IF(D100=F99,"","IU")</f>
        <v>IU</v>
      </c>
      <c r="C100" s="495">
        <f>IF(D94= "","-",D94)</f>
        <v>2014</v>
      </c>
      <c r="D100" s="612">
        <v>0</v>
      </c>
      <c r="E100" s="613">
        <v>102248.51895114942</v>
      </c>
      <c r="F100" s="614">
        <v>10064175.65104885</v>
      </c>
      <c r="G100" s="615">
        <v>5032087.8255244251</v>
      </c>
      <c r="H100" s="615">
        <v>643416.4924496013</v>
      </c>
      <c r="I100" s="615">
        <v>643416.4924496013</v>
      </c>
      <c r="J100" s="616">
        <v>0</v>
      </c>
      <c r="K100" s="504"/>
      <c r="L100" s="506">
        <f t="shared" ref="L100:L106" si="19">H100</f>
        <v>643416.4924496013</v>
      </c>
      <c r="M100" s="504">
        <f t="shared" ref="M100:M106" si="20">IF(L100&lt;&gt;0,+H100-L100,0)</f>
        <v>0</v>
      </c>
      <c r="N100" s="506">
        <f t="shared" ref="N100:N106" si="21">I100</f>
        <v>643416.4924496013</v>
      </c>
      <c r="O100" s="504">
        <f>IF(N100&lt;&gt;0,+I100-N100,0)</f>
        <v>0</v>
      </c>
      <c r="P100" s="504">
        <f>+O100-M100</f>
        <v>0</v>
      </c>
      <c r="Q100" s="243"/>
      <c r="R100" s="243"/>
      <c r="S100" s="243"/>
      <c r="T100" s="243"/>
      <c r="U100" s="243"/>
    </row>
    <row r="101" spans="1:21">
      <c r="B101" s="145" t="str">
        <f t="shared" si="18"/>
        <v>IU</v>
      </c>
      <c r="C101" s="495">
        <f>IF(D94="","-",+C100+1)</f>
        <v>2015</v>
      </c>
      <c r="D101" s="617">
        <v>10115489.48104885</v>
      </c>
      <c r="E101" s="617">
        <v>212869.54166666666</v>
      </c>
      <c r="F101" s="617">
        <v>9902619.9393821843</v>
      </c>
      <c r="G101" s="617">
        <v>10009054.710215516</v>
      </c>
      <c r="H101" s="617">
        <v>1327171.8833094309</v>
      </c>
      <c r="I101" s="617">
        <v>1327171.8833094309</v>
      </c>
      <c r="J101" s="617">
        <v>0</v>
      </c>
      <c r="K101" s="504"/>
      <c r="L101" s="506">
        <f t="shared" si="19"/>
        <v>1327171.8833094309</v>
      </c>
      <c r="M101" s="504">
        <f t="shared" si="20"/>
        <v>0</v>
      </c>
      <c r="N101" s="506">
        <f t="shared" si="21"/>
        <v>1327171.8833094309</v>
      </c>
      <c r="O101" s="504">
        <f t="shared" ref="O101:O131" si="22">IF(N101&lt;&gt;0,+I101-N101,0)</f>
        <v>0</v>
      </c>
      <c r="P101" s="504">
        <f t="shared" ref="P101:P131" si="23">+O101-M101</f>
        <v>0</v>
      </c>
      <c r="Q101" s="243"/>
      <c r="R101" s="243"/>
      <c r="S101" s="243"/>
      <c r="T101" s="243"/>
      <c r="U101" s="243"/>
    </row>
    <row r="102" spans="1:21">
      <c r="B102" s="145" t="str">
        <f t="shared" si="18"/>
        <v>IU</v>
      </c>
      <c r="C102" s="495">
        <f>IF(D94="","-",+C101+1)</f>
        <v>2016</v>
      </c>
      <c r="D102" s="617">
        <v>9902979.9393821843</v>
      </c>
      <c r="E102" s="617">
        <v>200354.86274509804</v>
      </c>
      <c r="F102" s="617">
        <v>9702625.0766370855</v>
      </c>
      <c r="G102" s="617">
        <v>9802802.5080096349</v>
      </c>
      <c r="H102" s="617">
        <v>1262679.2712885526</v>
      </c>
      <c r="I102" s="617">
        <v>1262679.2712885526</v>
      </c>
      <c r="J102" s="504">
        <f t="shared" ref="J102:J155" si="24">+I102-H102</f>
        <v>0</v>
      </c>
      <c r="K102" s="504"/>
      <c r="L102" s="506">
        <f t="shared" si="19"/>
        <v>1262679.2712885526</v>
      </c>
      <c r="M102" s="504">
        <f t="shared" si="20"/>
        <v>0</v>
      </c>
      <c r="N102" s="506">
        <f t="shared" si="21"/>
        <v>1262679.2712885526</v>
      </c>
      <c r="O102" s="504">
        <f>IF(N102&lt;&gt;0,+I102-N102,0)</f>
        <v>0</v>
      </c>
      <c r="P102" s="504">
        <f>+O102-M102</f>
        <v>0</v>
      </c>
      <c r="Q102" s="243"/>
      <c r="R102" s="243"/>
      <c r="S102" s="243"/>
      <c r="T102" s="243"/>
      <c r="U102" s="243"/>
    </row>
    <row r="103" spans="1:21">
      <c r="B103" s="145" t="str">
        <f t="shared" si="18"/>
        <v/>
      </c>
      <c r="C103" s="495">
        <f>IF(D94="","-",+C102+1)</f>
        <v>2017</v>
      </c>
      <c r="D103" s="617">
        <v>9702625.0766370855</v>
      </c>
      <c r="E103" s="617">
        <v>255452.45</v>
      </c>
      <c r="F103" s="617">
        <v>9447172.6266370863</v>
      </c>
      <c r="G103" s="617">
        <v>9574898.8516370859</v>
      </c>
      <c r="H103" s="617">
        <v>1378931.4814948814</v>
      </c>
      <c r="I103" s="617">
        <v>1378931.4814948814</v>
      </c>
      <c r="J103" s="504">
        <f t="shared" si="24"/>
        <v>0</v>
      </c>
      <c r="K103" s="504"/>
      <c r="L103" s="506">
        <f t="shared" si="19"/>
        <v>1378931.4814948814</v>
      </c>
      <c r="M103" s="504">
        <f t="shared" si="20"/>
        <v>0</v>
      </c>
      <c r="N103" s="506">
        <f t="shared" si="21"/>
        <v>1378931.4814948814</v>
      </c>
      <c r="O103" s="504">
        <f>IF(N103&lt;&gt;0,+I103-N103,0)</f>
        <v>0</v>
      </c>
      <c r="P103" s="504">
        <f>+O103-M103</f>
        <v>0</v>
      </c>
      <c r="Q103" s="243"/>
      <c r="R103" s="243"/>
      <c r="S103" s="243"/>
      <c r="T103" s="243"/>
      <c r="U103" s="243"/>
    </row>
    <row r="104" spans="1:21">
      <c r="B104" s="145" t="str">
        <f t="shared" si="18"/>
        <v/>
      </c>
      <c r="C104" s="495">
        <f>IF(D94="","-",+C103+1)</f>
        <v>2018</v>
      </c>
      <c r="D104" s="617">
        <v>9447172.6266370863</v>
      </c>
      <c r="E104" s="617">
        <v>283836.05555555556</v>
      </c>
      <c r="F104" s="617">
        <v>9163336.5710815303</v>
      </c>
      <c r="G104" s="617">
        <v>9305254.5988593083</v>
      </c>
      <c r="H104" s="617">
        <v>1266121.5205016474</v>
      </c>
      <c r="I104" s="617">
        <v>1266121.5205016474</v>
      </c>
      <c r="J104" s="504">
        <f t="shared" si="24"/>
        <v>0</v>
      </c>
      <c r="K104" s="504"/>
      <c r="L104" s="506">
        <f t="shared" si="19"/>
        <v>1266121.5205016474</v>
      </c>
      <c r="M104" s="504">
        <f t="shared" si="20"/>
        <v>0</v>
      </c>
      <c r="N104" s="506">
        <f t="shared" si="21"/>
        <v>1266121.5205016474</v>
      </c>
      <c r="O104" s="504">
        <f>IF(N104&lt;&gt;0,+I104-N104,0)</f>
        <v>0</v>
      </c>
      <c r="P104" s="504">
        <f>+O104-M104</f>
        <v>0</v>
      </c>
      <c r="Q104" s="243"/>
      <c r="R104" s="243"/>
      <c r="S104" s="243"/>
      <c r="T104" s="243"/>
      <c r="U104" s="243"/>
    </row>
    <row r="105" spans="1:21">
      <c r="B105" s="145" t="str">
        <f t="shared" si="18"/>
        <v/>
      </c>
      <c r="C105" s="495">
        <f>IF(D94="","-",+C104+1)</f>
        <v>2019</v>
      </c>
      <c r="D105" s="617">
        <v>9163336.5710815303</v>
      </c>
      <c r="E105" s="617">
        <v>283836.05555555556</v>
      </c>
      <c r="F105" s="617">
        <v>8879500.5155259743</v>
      </c>
      <c r="G105" s="617">
        <v>9021418.5433037523</v>
      </c>
      <c r="H105" s="617">
        <v>1236159.0913345795</v>
      </c>
      <c r="I105" s="617">
        <v>1236159.0913345795</v>
      </c>
      <c r="J105" s="504">
        <f t="shared" si="24"/>
        <v>0</v>
      </c>
      <c r="K105" s="504"/>
      <c r="L105" s="506">
        <f t="shared" si="19"/>
        <v>1236159.0913345795</v>
      </c>
      <c r="M105" s="504">
        <f t="shared" si="20"/>
        <v>0</v>
      </c>
      <c r="N105" s="506">
        <f t="shared" si="21"/>
        <v>1236159.0913345795</v>
      </c>
      <c r="O105" s="504">
        <f t="shared" si="22"/>
        <v>0</v>
      </c>
      <c r="P105" s="504">
        <f t="shared" si="23"/>
        <v>0</v>
      </c>
      <c r="Q105" s="243"/>
      <c r="R105" s="243"/>
      <c r="S105" s="243"/>
      <c r="T105" s="243"/>
      <c r="U105" s="243"/>
    </row>
    <row r="106" spans="1:21">
      <c r="B106" s="145" t="str">
        <f t="shared" si="18"/>
        <v/>
      </c>
      <c r="C106" s="495">
        <f>IF(D94="","-",+C105+1)</f>
        <v>2020</v>
      </c>
      <c r="D106" s="617">
        <v>8879500.5155259743</v>
      </c>
      <c r="E106" s="617">
        <v>364932.07142857142</v>
      </c>
      <c r="F106" s="617">
        <v>8514568.4440974034</v>
      </c>
      <c r="G106" s="617">
        <v>8697034.4798116889</v>
      </c>
      <c r="H106" s="617">
        <v>1290413.9410906809</v>
      </c>
      <c r="I106" s="617">
        <v>1290413.9410906809</v>
      </c>
      <c r="J106" s="504">
        <f t="shared" si="24"/>
        <v>0</v>
      </c>
      <c r="K106" s="504"/>
      <c r="L106" s="506">
        <f t="shared" si="19"/>
        <v>1290413.9410906809</v>
      </c>
      <c r="M106" s="504">
        <f t="shared" si="20"/>
        <v>0</v>
      </c>
      <c r="N106" s="506">
        <f t="shared" si="21"/>
        <v>1290413.9410906809</v>
      </c>
      <c r="O106" s="504">
        <f t="shared" si="22"/>
        <v>0</v>
      </c>
      <c r="P106" s="504">
        <f t="shared" si="23"/>
        <v>0</v>
      </c>
      <c r="Q106" s="243"/>
      <c r="R106" s="243"/>
      <c r="S106" s="243"/>
      <c r="T106" s="243"/>
      <c r="U106" s="243"/>
    </row>
    <row r="107" spans="1:21">
      <c r="B107" s="145" t="str">
        <f t="shared" si="18"/>
        <v/>
      </c>
      <c r="C107" s="495">
        <f>IF(D94="","-",+C106+1)</f>
        <v>2021</v>
      </c>
      <c r="D107" s="349">
        <f>IF(F106+SUM(E$100:E106)=D$93,F106,D$93-SUM(E$100:E106))</f>
        <v>8514568.4440974034</v>
      </c>
      <c r="E107" s="509">
        <f t="shared" ref="E107:E155" si="25">IF(+$J$97&lt;F106,$J$97,D107)</f>
        <v>486576.09523809527</v>
      </c>
      <c r="F107" s="510">
        <f t="shared" ref="F107:F155" si="26">+D107-E107</f>
        <v>8027992.3488593083</v>
      </c>
      <c r="G107" s="510">
        <f t="shared" ref="G107:G155" si="27">+(F107+D107)/2</f>
        <v>8271280.3964783559</v>
      </c>
      <c r="H107" s="523">
        <f t="shared" ref="H107:H155" si="28">+J$95*G107+E107</f>
        <v>1435778.0921017996</v>
      </c>
      <c r="I107" s="572">
        <f t="shared" ref="I107:I155" si="29">+J$96*G107+E107</f>
        <v>1435778.0921017996</v>
      </c>
      <c r="J107" s="504">
        <f t="shared" si="24"/>
        <v>0</v>
      </c>
      <c r="K107" s="504"/>
      <c r="L107" s="512"/>
      <c r="M107" s="504">
        <f t="shared" ref="M107:M131" si="30">IF(L107&lt;&gt;0,+H107-L107,0)</f>
        <v>0</v>
      </c>
      <c r="N107" s="512"/>
      <c r="O107" s="504">
        <f t="shared" si="22"/>
        <v>0</v>
      </c>
      <c r="P107" s="504">
        <f t="shared" si="23"/>
        <v>0</v>
      </c>
      <c r="Q107" s="243"/>
      <c r="R107" s="243"/>
      <c r="S107" s="243"/>
      <c r="T107" s="243"/>
      <c r="U107" s="243"/>
    </row>
    <row r="108" spans="1:21">
      <c r="B108" s="145" t="str">
        <f t="shared" si="18"/>
        <v/>
      </c>
      <c r="C108" s="495">
        <f>IF(D94="","-",+C107+1)</f>
        <v>2022</v>
      </c>
      <c r="D108" s="349">
        <f>IF(F107+SUM(E$100:E107)=D$93,F107,D$93-SUM(E$100:E107))</f>
        <v>8027992.3488593083</v>
      </c>
      <c r="E108" s="509">
        <f t="shared" si="25"/>
        <v>486576.09523809527</v>
      </c>
      <c r="F108" s="510">
        <f t="shared" si="26"/>
        <v>7541416.2536212131</v>
      </c>
      <c r="G108" s="510">
        <f t="shared" si="27"/>
        <v>7784704.3012402607</v>
      </c>
      <c r="H108" s="523">
        <f t="shared" si="28"/>
        <v>1379939.2160043591</v>
      </c>
      <c r="I108" s="572">
        <f t="shared" si="29"/>
        <v>1379939.2160043591</v>
      </c>
      <c r="J108" s="504">
        <f t="shared" si="24"/>
        <v>0</v>
      </c>
      <c r="K108" s="504"/>
      <c r="L108" s="512"/>
      <c r="M108" s="504">
        <f t="shared" si="30"/>
        <v>0</v>
      </c>
      <c r="N108" s="512"/>
      <c r="O108" s="504">
        <f t="shared" si="22"/>
        <v>0</v>
      </c>
      <c r="P108" s="504">
        <f t="shared" si="23"/>
        <v>0</v>
      </c>
      <c r="Q108" s="243"/>
      <c r="R108" s="243"/>
      <c r="S108" s="243"/>
      <c r="T108" s="243"/>
      <c r="U108" s="243"/>
    </row>
    <row r="109" spans="1:21">
      <c r="B109" s="145" t="str">
        <f t="shared" si="18"/>
        <v/>
      </c>
      <c r="C109" s="495">
        <f>IF(D94="","-",+C108+1)</f>
        <v>2023</v>
      </c>
      <c r="D109" s="349">
        <f>IF(F108+SUM(E$100:E108)=D$93,F108,D$93-SUM(E$100:E108))</f>
        <v>7541416.2536212131</v>
      </c>
      <c r="E109" s="509">
        <f t="shared" si="25"/>
        <v>486576.09523809527</v>
      </c>
      <c r="F109" s="510">
        <f t="shared" si="26"/>
        <v>7054840.158383118</v>
      </c>
      <c r="G109" s="510">
        <f t="shared" si="27"/>
        <v>7298128.2060021656</v>
      </c>
      <c r="H109" s="523">
        <f t="shared" si="28"/>
        <v>1324100.3399069184</v>
      </c>
      <c r="I109" s="572">
        <f t="shared" si="29"/>
        <v>1324100.3399069184</v>
      </c>
      <c r="J109" s="504">
        <f t="shared" si="24"/>
        <v>0</v>
      </c>
      <c r="K109" s="504"/>
      <c r="L109" s="512"/>
      <c r="M109" s="504">
        <f t="shared" si="30"/>
        <v>0</v>
      </c>
      <c r="N109" s="512"/>
      <c r="O109" s="504">
        <f t="shared" si="22"/>
        <v>0</v>
      </c>
      <c r="P109" s="504">
        <f t="shared" si="23"/>
        <v>0</v>
      </c>
      <c r="Q109" s="243"/>
      <c r="R109" s="243"/>
      <c r="S109" s="243"/>
      <c r="T109" s="243"/>
      <c r="U109" s="243"/>
    </row>
    <row r="110" spans="1:21">
      <c r="B110" s="145" t="str">
        <f t="shared" si="18"/>
        <v/>
      </c>
      <c r="C110" s="495">
        <f>IF(D94="","-",+C109+1)</f>
        <v>2024</v>
      </c>
      <c r="D110" s="349">
        <f>IF(F109+SUM(E$100:E109)=D$93,F109,D$93-SUM(E$100:E109))</f>
        <v>7054840.158383118</v>
      </c>
      <c r="E110" s="509">
        <f t="shared" si="25"/>
        <v>486576.09523809527</v>
      </c>
      <c r="F110" s="510">
        <f t="shared" si="26"/>
        <v>6568264.0631450228</v>
      </c>
      <c r="G110" s="510">
        <f t="shared" si="27"/>
        <v>6811552.1107640704</v>
      </c>
      <c r="H110" s="523">
        <f t="shared" si="28"/>
        <v>1268261.4638094779</v>
      </c>
      <c r="I110" s="572">
        <f t="shared" si="29"/>
        <v>1268261.4638094779</v>
      </c>
      <c r="J110" s="504">
        <f t="shared" si="24"/>
        <v>0</v>
      </c>
      <c r="K110" s="504"/>
      <c r="L110" s="512"/>
      <c r="M110" s="504">
        <f t="shared" si="30"/>
        <v>0</v>
      </c>
      <c r="N110" s="512"/>
      <c r="O110" s="504">
        <f t="shared" si="22"/>
        <v>0</v>
      </c>
      <c r="P110" s="504">
        <f t="shared" si="23"/>
        <v>0</v>
      </c>
      <c r="Q110" s="243"/>
      <c r="R110" s="243"/>
      <c r="S110" s="243"/>
      <c r="T110" s="243"/>
      <c r="U110" s="243"/>
    </row>
    <row r="111" spans="1:21">
      <c r="B111" s="145" t="str">
        <f t="shared" si="18"/>
        <v/>
      </c>
      <c r="C111" s="495">
        <f>IF(D94="","-",+C110+1)</f>
        <v>2025</v>
      </c>
      <c r="D111" s="349">
        <f>IF(F110+SUM(E$100:E110)=D$93,F110,D$93-SUM(E$100:E110))</f>
        <v>6568264.0631450228</v>
      </c>
      <c r="E111" s="509">
        <f t="shared" si="25"/>
        <v>486576.09523809527</v>
      </c>
      <c r="F111" s="510">
        <f t="shared" si="26"/>
        <v>6081687.9679069277</v>
      </c>
      <c r="G111" s="510">
        <f t="shared" si="27"/>
        <v>6324976.0155259753</v>
      </c>
      <c r="H111" s="523">
        <f t="shared" si="28"/>
        <v>1212422.5877120374</v>
      </c>
      <c r="I111" s="572">
        <f t="shared" si="29"/>
        <v>1212422.5877120374</v>
      </c>
      <c r="J111" s="504">
        <f t="shared" si="24"/>
        <v>0</v>
      </c>
      <c r="K111" s="504"/>
      <c r="L111" s="512"/>
      <c r="M111" s="504">
        <f t="shared" si="30"/>
        <v>0</v>
      </c>
      <c r="N111" s="512"/>
      <c r="O111" s="504">
        <f t="shared" si="22"/>
        <v>0</v>
      </c>
      <c r="P111" s="504">
        <f t="shared" si="23"/>
        <v>0</v>
      </c>
      <c r="Q111" s="243"/>
      <c r="R111" s="243"/>
      <c r="S111" s="243"/>
      <c r="T111" s="243"/>
      <c r="U111" s="243"/>
    </row>
    <row r="112" spans="1:21">
      <c r="B112" s="145" t="str">
        <f t="shared" si="18"/>
        <v/>
      </c>
      <c r="C112" s="495">
        <f>IF(D94="","-",+C111+1)</f>
        <v>2026</v>
      </c>
      <c r="D112" s="349">
        <f>IF(F111+SUM(E$100:E111)=D$93,F111,D$93-SUM(E$100:E111))</f>
        <v>6081687.9679069277</v>
      </c>
      <c r="E112" s="509">
        <f t="shared" si="25"/>
        <v>486576.09523809527</v>
      </c>
      <c r="F112" s="510">
        <f t="shared" si="26"/>
        <v>5595111.8726688325</v>
      </c>
      <c r="G112" s="510">
        <f t="shared" si="27"/>
        <v>5838399.9202878801</v>
      </c>
      <c r="H112" s="523">
        <f t="shared" si="28"/>
        <v>1156583.7116145967</v>
      </c>
      <c r="I112" s="572">
        <f t="shared" si="29"/>
        <v>1156583.7116145967</v>
      </c>
      <c r="J112" s="504">
        <f t="shared" si="24"/>
        <v>0</v>
      </c>
      <c r="K112" s="504"/>
      <c r="L112" s="512"/>
      <c r="M112" s="504">
        <f t="shared" si="30"/>
        <v>0</v>
      </c>
      <c r="N112" s="512"/>
      <c r="O112" s="504">
        <f t="shared" si="22"/>
        <v>0</v>
      </c>
      <c r="P112" s="504">
        <f t="shared" si="23"/>
        <v>0</v>
      </c>
      <c r="Q112" s="243"/>
      <c r="R112" s="243"/>
      <c r="S112" s="243"/>
      <c r="T112" s="243"/>
      <c r="U112" s="243"/>
    </row>
    <row r="113" spans="2:21">
      <c r="B113" s="145" t="str">
        <f t="shared" si="18"/>
        <v/>
      </c>
      <c r="C113" s="495">
        <f>IF(D94="","-",+C112+1)</f>
        <v>2027</v>
      </c>
      <c r="D113" s="349">
        <f>IF(F112+SUM(E$100:E112)=D$93,F112,D$93-SUM(E$100:E112))</f>
        <v>5595111.8726688325</v>
      </c>
      <c r="E113" s="509">
        <f t="shared" si="25"/>
        <v>486576.09523809527</v>
      </c>
      <c r="F113" s="510">
        <f t="shared" si="26"/>
        <v>5108535.7774307374</v>
      </c>
      <c r="G113" s="510">
        <f t="shared" si="27"/>
        <v>5351823.825049785</v>
      </c>
      <c r="H113" s="523">
        <f t="shared" si="28"/>
        <v>1100744.8355171564</v>
      </c>
      <c r="I113" s="572">
        <f t="shared" si="29"/>
        <v>1100744.8355171564</v>
      </c>
      <c r="J113" s="504">
        <f t="shared" si="24"/>
        <v>0</v>
      </c>
      <c r="K113" s="504"/>
      <c r="L113" s="512"/>
      <c r="M113" s="504">
        <f t="shared" si="30"/>
        <v>0</v>
      </c>
      <c r="N113" s="512"/>
      <c r="O113" s="504">
        <f t="shared" si="22"/>
        <v>0</v>
      </c>
      <c r="P113" s="504">
        <f t="shared" si="23"/>
        <v>0</v>
      </c>
      <c r="Q113" s="243"/>
      <c r="R113" s="243"/>
      <c r="S113" s="243"/>
      <c r="T113" s="243"/>
      <c r="U113" s="243"/>
    </row>
    <row r="114" spans="2:21">
      <c r="B114" s="145" t="str">
        <f t="shared" si="18"/>
        <v/>
      </c>
      <c r="C114" s="495">
        <f>IF(D94="","-",+C113+1)</f>
        <v>2028</v>
      </c>
      <c r="D114" s="349">
        <f>IF(F113+SUM(E$100:E113)=D$93,F113,D$93-SUM(E$100:E113))</f>
        <v>5108535.7774307374</v>
      </c>
      <c r="E114" s="509">
        <f t="shared" si="25"/>
        <v>486576.09523809527</v>
      </c>
      <c r="F114" s="510">
        <f t="shared" si="26"/>
        <v>4621959.6821926422</v>
      </c>
      <c r="G114" s="510">
        <f t="shared" si="27"/>
        <v>4865247.7298116898</v>
      </c>
      <c r="H114" s="523">
        <f t="shared" si="28"/>
        <v>1044905.9594197157</v>
      </c>
      <c r="I114" s="572">
        <f t="shared" si="29"/>
        <v>1044905.9594197157</v>
      </c>
      <c r="J114" s="504">
        <f t="shared" si="24"/>
        <v>0</v>
      </c>
      <c r="K114" s="504"/>
      <c r="L114" s="512"/>
      <c r="M114" s="504">
        <f t="shared" si="30"/>
        <v>0</v>
      </c>
      <c r="N114" s="512"/>
      <c r="O114" s="504">
        <f t="shared" si="22"/>
        <v>0</v>
      </c>
      <c r="P114" s="504">
        <f t="shared" si="23"/>
        <v>0</v>
      </c>
      <c r="Q114" s="243"/>
      <c r="R114" s="243"/>
      <c r="S114" s="243"/>
      <c r="T114" s="243"/>
      <c r="U114" s="243"/>
    </row>
    <row r="115" spans="2:21">
      <c r="B115" s="145" t="str">
        <f t="shared" si="18"/>
        <v/>
      </c>
      <c r="C115" s="495">
        <f>IF(D94="","-",+C114+1)</f>
        <v>2029</v>
      </c>
      <c r="D115" s="349">
        <f>IF(F114+SUM(E$100:E114)=D$93,F114,D$93-SUM(E$100:E114))</f>
        <v>4621959.6821926422</v>
      </c>
      <c r="E115" s="509">
        <f t="shared" si="25"/>
        <v>486576.09523809527</v>
      </c>
      <c r="F115" s="510">
        <f t="shared" si="26"/>
        <v>4135383.5869545471</v>
      </c>
      <c r="G115" s="510">
        <f t="shared" si="27"/>
        <v>4378671.6345735947</v>
      </c>
      <c r="H115" s="523">
        <f t="shared" si="28"/>
        <v>989067.0833222752</v>
      </c>
      <c r="I115" s="572">
        <f t="shared" si="29"/>
        <v>989067.0833222752</v>
      </c>
      <c r="J115" s="504">
        <f t="shared" si="24"/>
        <v>0</v>
      </c>
      <c r="K115" s="504"/>
      <c r="L115" s="512"/>
      <c r="M115" s="504">
        <f t="shared" si="30"/>
        <v>0</v>
      </c>
      <c r="N115" s="512"/>
      <c r="O115" s="504">
        <f t="shared" si="22"/>
        <v>0</v>
      </c>
      <c r="P115" s="504">
        <f t="shared" si="23"/>
        <v>0</v>
      </c>
      <c r="Q115" s="243"/>
      <c r="R115" s="243"/>
      <c r="S115" s="243"/>
      <c r="T115" s="243"/>
      <c r="U115" s="243"/>
    </row>
    <row r="116" spans="2:21">
      <c r="B116" s="145" t="str">
        <f t="shared" si="18"/>
        <v/>
      </c>
      <c r="C116" s="495">
        <f>IF(D94="","-",+C115+1)</f>
        <v>2030</v>
      </c>
      <c r="D116" s="349">
        <f>IF(F115+SUM(E$100:E115)=D$93,F115,D$93-SUM(E$100:E115))</f>
        <v>4135383.5869545471</v>
      </c>
      <c r="E116" s="509">
        <f t="shared" si="25"/>
        <v>486576.09523809527</v>
      </c>
      <c r="F116" s="510">
        <f t="shared" si="26"/>
        <v>3648807.4917164519</v>
      </c>
      <c r="G116" s="510">
        <f t="shared" si="27"/>
        <v>3892095.5393354995</v>
      </c>
      <c r="H116" s="523">
        <f t="shared" si="28"/>
        <v>933228.20722483459</v>
      </c>
      <c r="I116" s="572">
        <f t="shared" si="29"/>
        <v>933228.20722483459</v>
      </c>
      <c r="J116" s="504">
        <f t="shared" si="24"/>
        <v>0</v>
      </c>
      <c r="K116" s="504"/>
      <c r="L116" s="512"/>
      <c r="M116" s="504">
        <f t="shared" si="30"/>
        <v>0</v>
      </c>
      <c r="N116" s="512"/>
      <c r="O116" s="504">
        <f t="shared" si="22"/>
        <v>0</v>
      </c>
      <c r="P116" s="504">
        <f t="shared" si="23"/>
        <v>0</v>
      </c>
      <c r="Q116" s="243"/>
      <c r="R116" s="243"/>
      <c r="S116" s="243"/>
      <c r="T116" s="243"/>
      <c r="U116" s="243"/>
    </row>
    <row r="117" spans="2:21">
      <c r="B117" s="145" t="str">
        <f t="shared" si="18"/>
        <v/>
      </c>
      <c r="C117" s="495">
        <f>IF(D94="","-",+C116+1)</f>
        <v>2031</v>
      </c>
      <c r="D117" s="349">
        <f>IF(F116+SUM(E$100:E116)=D$93,F116,D$93-SUM(E$100:E116))</f>
        <v>3648807.4917164519</v>
      </c>
      <c r="E117" s="509">
        <f t="shared" si="25"/>
        <v>486576.09523809527</v>
      </c>
      <c r="F117" s="510">
        <f t="shared" si="26"/>
        <v>3162231.3964783568</v>
      </c>
      <c r="G117" s="510">
        <f t="shared" si="27"/>
        <v>3405519.4440974044</v>
      </c>
      <c r="H117" s="523">
        <f t="shared" si="28"/>
        <v>877389.33112739399</v>
      </c>
      <c r="I117" s="572">
        <f t="shared" si="29"/>
        <v>877389.33112739399</v>
      </c>
      <c r="J117" s="504">
        <f t="shared" si="24"/>
        <v>0</v>
      </c>
      <c r="K117" s="504"/>
      <c r="L117" s="512"/>
      <c r="M117" s="504">
        <f t="shared" si="30"/>
        <v>0</v>
      </c>
      <c r="N117" s="512"/>
      <c r="O117" s="504">
        <f t="shared" si="22"/>
        <v>0</v>
      </c>
      <c r="P117" s="504">
        <f t="shared" si="23"/>
        <v>0</v>
      </c>
      <c r="Q117" s="243"/>
      <c r="R117" s="243"/>
      <c r="S117" s="243"/>
      <c r="T117" s="243"/>
      <c r="U117" s="243"/>
    </row>
    <row r="118" spans="2:21">
      <c r="B118" s="145" t="str">
        <f t="shared" si="18"/>
        <v/>
      </c>
      <c r="C118" s="495">
        <f>IF(D94="","-",+C117+1)</f>
        <v>2032</v>
      </c>
      <c r="D118" s="349">
        <f>IF(F117+SUM(E$100:E117)=D$93,F117,D$93-SUM(E$100:E117))</f>
        <v>3162231.3964783568</v>
      </c>
      <c r="E118" s="509">
        <f t="shared" si="25"/>
        <v>486576.09523809527</v>
      </c>
      <c r="F118" s="510">
        <f t="shared" si="26"/>
        <v>2675655.3012402616</v>
      </c>
      <c r="G118" s="510">
        <f t="shared" si="27"/>
        <v>2918943.3488593092</v>
      </c>
      <c r="H118" s="523">
        <f t="shared" si="28"/>
        <v>821550.4550299535</v>
      </c>
      <c r="I118" s="572">
        <f t="shared" si="29"/>
        <v>821550.4550299535</v>
      </c>
      <c r="J118" s="504">
        <f t="shared" si="24"/>
        <v>0</v>
      </c>
      <c r="K118" s="504"/>
      <c r="L118" s="512"/>
      <c r="M118" s="504">
        <f t="shared" si="30"/>
        <v>0</v>
      </c>
      <c r="N118" s="512"/>
      <c r="O118" s="504">
        <f t="shared" si="22"/>
        <v>0</v>
      </c>
      <c r="P118" s="504">
        <f t="shared" si="23"/>
        <v>0</v>
      </c>
      <c r="Q118" s="243"/>
      <c r="R118" s="243"/>
      <c r="S118" s="243"/>
      <c r="T118" s="243"/>
      <c r="U118" s="243"/>
    </row>
    <row r="119" spans="2:21">
      <c r="B119" s="145" t="str">
        <f t="shared" si="18"/>
        <v/>
      </c>
      <c r="C119" s="495">
        <f>IF(D94="","-",+C118+1)</f>
        <v>2033</v>
      </c>
      <c r="D119" s="349">
        <f>IF(F118+SUM(E$100:E118)=D$93,F118,D$93-SUM(E$100:E118))</f>
        <v>2675655.3012402616</v>
      </c>
      <c r="E119" s="509">
        <f t="shared" si="25"/>
        <v>486576.09523809527</v>
      </c>
      <c r="F119" s="510">
        <f t="shared" si="26"/>
        <v>2189079.2060021665</v>
      </c>
      <c r="G119" s="510">
        <f t="shared" si="27"/>
        <v>2432367.2536212141</v>
      </c>
      <c r="H119" s="523">
        <f t="shared" si="28"/>
        <v>765711.57893251302</v>
      </c>
      <c r="I119" s="572">
        <f t="shared" si="29"/>
        <v>765711.57893251302</v>
      </c>
      <c r="J119" s="504">
        <f t="shared" si="24"/>
        <v>0</v>
      </c>
      <c r="K119" s="504"/>
      <c r="L119" s="512"/>
      <c r="M119" s="504">
        <f t="shared" si="30"/>
        <v>0</v>
      </c>
      <c r="N119" s="512"/>
      <c r="O119" s="504">
        <f t="shared" si="22"/>
        <v>0</v>
      </c>
      <c r="P119" s="504">
        <f t="shared" si="23"/>
        <v>0</v>
      </c>
      <c r="Q119" s="243"/>
      <c r="R119" s="243"/>
      <c r="S119" s="243"/>
      <c r="T119" s="243"/>
      <c r="U119" s="243"/>
    </row>
    <row r="120" spans="2:21">
      <c r="B120" s="145" t="str">
        <f t="shared" si="18"/>
        <v/>
      </c>
      <c r="C120" s="495">
        <f>IF(D94="","-",+C119+1)</f>
        <v>2034</v>
      </c>
      <c r="D120" s="349">
        <f>IF(F119+SUM(E$100:E119)=D$93,F119,D$93-SUM(E$100:E119))</f>
        <v>2189079.2060021665</v>
      </c>
      <c r="E120" s="509">
        <f t="shared" si="25"/>
        <v>486576.09523809527</v>
      </c>
      <c r="F120" s="510">
        <f t="shared" si="26"/>
        <v>1702503.1107640713</v>
      </c>
      <c r="G120" s="510">
        <f t="shared" si="27"/>
        <v>1945791.1583831189</v>
      </c>
      <c r="H120" s="523">
        <f t="shared" si="28"/>
        <v>709872.70283507241</v>
      </c>
      <c r="I120" s="572">
        <f t="shared" si="29"/>
        <v>709872.70283507241</v>
      </c>
      <c r="J120" s="504">
        <f t="shared" si="24"/>
        <v>0</v>
      </c>
      <c r="K120" s="504"/>
      <c r="L120" s="512"/>
      <c r="M120" s="504">
        <f t="shared" si="30"/>
        <v>0</v>
      </c>
      <c r="N120" s="512"/>
      <c r="O120" s="504">
        <f t="shared" si="22"/>
        <v>0</v>
      </c>
      <c r="P120" s="504">
        <f t="shared" si="23"/>
        <v>0</v>
      </c>
      <c r="Q120" s="243"/>
      <c r="R120" s="243"/>
      <c r="S120" s="243"/>
      <c r="T120" s="243"/>
      <c r="U120" s="243"/>
    </row>
    <row r="121" spans="2:21">
      <c r="B121" s="145" t="str">
        <f t="shared" si="18"/>
        <v/>
      </c>
      <c r="C121" s="495">
        <f>IF(D94="","-",+C120+1)</f>
        <v>2035</v>
      </c>
      <c r="D121" s="349">
        <f>IF(F120+SUM(E$100:E120)=D$93,F120,D$93-SUM(E$100:E120))</f>
        <v>1702503.1107640713</v>
      </c>
      <c r="E121" s="509">
        <f t="shared" si="25"/>
        <v>486576.09523809527</v>
      </c>
      <c r="F121" s="510">
        <f t="shared" si="26"/>
        <v>1215927.0155259762</v>
      </c>
      <c r="G121" s="510">
        <f t="shared" si="27"/>
        <v>1459215.0631450238</v>
      </c>
      <c r="H121" s="523">
        <f t="shared" si="28"/>
        <v>654033.82673763181</v>
      </c>
      <c r="I121" s="572">
        <f t="shared" si="29"/>
        <v>654033.82673763181</v>
      </c>
      <c r="J121" s="504">
        <f t="shared" si="24"/>
        <v>0</v>
      </c>
      <c r="K121" s="504"/>
      <c r="L121" s="512"/>
      <c r="M121" s="504">
        <f t="shared" si="30"/>
        <v>0</v>
      </c>
      <c r="N121" s="512"/>
      <c r="O121" s="504">
        <f t="shared" si="22"/>
        <v>0</v>
      </c>
      <c r="P121" s="504">
        <f t="shared" si="23"/>
        <v>0</v>
      </c>
      <c r="Q121" s="243"/>
      <c r="R121" s="243"/>
      <c r="S121" s="243"/>
      <c r="T121" s="243"/>
      <c r="U121" s="243"/>
    </row>
    <row r="122" spans="2:21">
      <c r="B122" s="145" t="str">
        <f t="shared" si="18"/>
        <v/>
      </c>
      <c r="C122" s="495">
        <f>IF(D94="","-",+C121+1)</f>
        <v>2036</v>
      </c>
      <c r="D122" s="349">
        <f>IF(F121+SUM(E$100:E121)=D$93,F121,D$93-SUM(E$100:E121))</f>
        <v>1215927.0155259762</v>
      </c>
      <c r="E122" s="509">
        <f t="shared" si="25"/>
        <v>486576.09523809527</v>
      </c>
      <c r="F122" s="510">
        <f t="shared" si="26"/>
        <v>729350.92028788093</v>
      </c>
      <c r="G122" s="510">
        <f t="shared" si="27"/>
        <v>972638.96790692862</v>
      </c>
      <c r="H122" s="523">
        <f t="shared" si="28"/>
        <v>598194.95064019132</v>
      </c>
      <c r="I122" s="572">
        <f t="shared" si="29"/>
        <v>598194.95064019132</v>
      </c>
      <c r="J122" s="504">
        <f t="shared" si="24"/>
        <v>0</v>
      </c>
      <c r="K122" s="504"/>
      <c r="L122" s="512"/>
      <c r="M122" s="504">
        <f t="shared" si="30"/>
        <v>0</v>
      </c>
      <c r="N122" s="512"/>
      <c r="O122" s="504">
        <f t="shared" si="22"/>
        <v>0</v>
      </c>
      <c r="P122" s="504">
        <f t="shared" si="23"/>
        <v>0</v>
      </c>
      <c r="Q122" s="243"/>
      <c r="R122" s="243"/>
      <c r="S122" s="243"/>
      <c r="T122" s="243"/>
      <c r="U122" s="243"/>
    </row>
    <row r="123" spans="2:21">
      <c r="B123" s="145" t="str">
        <f t="shared" si="18"/>
        <v/>
      </c>
      <c r="C123" s="495">
        <f>IF(D94="","-",+C122+1)</f>
        <v>2037</v>
      </c>
      <c r="D123" s="349">
        <f>IF(F122+SUM(E$100:E122)=D$93,F122,D$93-SUM(E$100:E122))</f>
        <v>729350.92028788093</v>
      </c>
      <c r="E123" s="509">
        <f t="shared" si="25"/>
        <v>486576.09523809527</v>
      </c>
      <c r="F123" s="510">
        <f t="shared" si="26"/>
        <v>242774.82504978566</v>
      </c>
      <c r="G123" s="510">
        <f t="shared" si="27"/>
        <v>486062.8726688333</v>
      </c>
      <c r="H123" s="523">
        <f t="shared" si="28"/>
        <v>542356.07454275072</v>
      </c>
      <c r="I123" s="572">
        <f t="shared" si="29"/>
        <v>542356.07454275072</v>
      </c>
      <c r="J123" s="504">
        <f t="shared" si="24"/>
        <v>0</v>
      </c>
      <c r="K123" s="504"/>
      <c r="L123" s="512"/>
      <c r="M123" s="504">
        <f t="shared" si="30"/>
        <v>0</v>
      </c>
      <c r="N123" s="512"/>
      <c r="O123" s="504">
        <f t="shared" si="22"/>
        <v>0</v>
      </c>
      <c r="P123" s="504">
        <f t="shared" si="23"/>
        <v>0</v>
      </c>
      <c r="Q123" s="243"/>
      <c r="R123" s="243"/>
      <c r="S123" s="243"/>
      <c r="T123" s="243"/>
      <c r="U123" s="243"/>
    </row>
    <row r="124" spans="2:21">
      <c r="B124" s="145" t="str">
        <f t="shared" si="18"/>
        <v/>
      </c>
      <c r="C124" s="495">
        <f>IF(D94="","-",+C123+1)</f>
        <v>2038</v>
      </c>
      <c r="D124" s="349">
        <f>IF(F123+SUM(E$100:E123)=D$93,F123,D$93-SUM(E$100:E123))</f>
        <v>242774.82504978566</v>
      </c>
      <c r="E124" s="509">
        <f t="shared" si="25"/>
        <v>242774.82504978566</v>
      </c>
      <c r="F124" s="510">
        <f t="shared" si="26"/>
        <v>0</v>
      </c>
      <c r="G124" s="510">
        <f t="shared" si="27"/>
        <v>121387.41252489283</v>
      </c>
      <c r="H124" s="523">
        <f t="shared" si="28"/>
        <v>256705.09567775324</v>
      </c>
      <c r="I124" s="572">
        <f t="shared" si="29"/>
        <v>256705.09567775324</v>
      </c>
      <c r="J124" s="504">
        <f t="shared" si="24"/>
        <v>0</v>
      </c>
      <c r="K124" s="504"/>
      <c r="L124" s="512"/>
      <c r="M124" s="504">
        <f t="shared" si="30"/>
        <v>0</v>
      </c>
      <c r="N124" s="512"/>
      <c r="O124" s="504">
        <f t="shared" si="22"/>
        <v>0</v>
      </c>
      <c r="P124" s="504">
        <f t="shared" si="23"/>
        <v>0</v>
      </c>
      <c r="Q124" s="243"/>
      <c r="R124" s="243"/>
      <c r="S124" s="243"/>
      <c r="T124" s="243"/>
      <c r="U124" s="243"/>
    </row>
    <row r="125" spans="2:21">
      <c r="B125" s="145" t="str">
        <f t="shared" si="18"/>
        <v/>
      </c>
      <c r="C125" s="495">
        <f>IF(D94="","-",+C124+1)</f>
        <v>2039</v>
      </c>
      <c r="D125" s="349">
        <f>IF(F124+SUM(E$100:E124)=D$93,F124,D$93-SUM(E$100:E124))</f>
        <v>0</v>
      </c>
      <c r="E125" s="509">
        <f t="shared" si="25"/>
        <v>0</v>
      </c>
      <c r="F125" s="510">
        <f t="shared" si="26"/>
        <v>0</v>
      </c>
      <c r="G125" s="510">
        <f t="shared" si="27"/>
        <v>0</v>
      </c>
      <c r="H125" s="523">
        <f t="shared" si="28"/>
        <v>0</v>
      </c>
      <c r="I125" s="572">
        <f t="shared" si="29"/>
        <v>0</v>
      </c>
      <c r="J125" s="504">
        <f t="shared" si="24"/>
        <v>0</v>
      </c>
      <c r="K125" s="504"/>
      <c r="L125" s="512"/>
      <c r="M125" s="504">
        <f t="shared" si="30"/>
        <v>0</v>
      </c>
      <c r="N125" s="512"/>
      <c r="O125" s="504">
        <f t="shared" si="22"/>
        <v>0</v>
      </c>
      <c r="P125" s="504">
        <f t="shared" si="23"/>
        <v>0</v>
      </c>
      <c r="Q125" s="243"/>
      <c r="R125" s="243"/>
      <c r="S125" s="243"/>
      <c r="T125" s="243"/>
      <c r="U125" s="243"/>
    </row>
    <row r="126" spans="2:21">
      <c r="B126" s="145" t="str">
        <f t="shared" si="18"/>
        <v/>
      </c>
      <c r="C126" s="495">
        <f>IF(D94="","-",+C125+1)</f>
        <v>2040</v>
      </c>
      <c r="D126" s="349">
        <f>IF(F125+SUM(E$100:E125)=D$93,F125,D$93-SUM(E$100:E125))</f>
        <v>0</v>
      </c>
      <c r="E126" s="509">
        <f t="shared" si="25"/>
        <v>0</v>
      </c>
      <c r="F126" s="510">
        <f t="shared" si="26"/>
        <v>0</v>
      </c>
      <c r="G126" s="510">
        <f t="shared" si="27"/>
        <v>0</v>
      </c>
      <c r="H126" s="523">
        <f t="shared" si="28"/>
        <v>0</v>
      </c>
      <c r="I126" s="572">
        <f t="shared" si="29"/>
        <v>0</v>
      </c>
      <c r="J126" s="504">
        <f t="shared" si="24"/>
        <v>0</v>
      </c>
      <c r="K126" s="504"/>
      <c r="L126" s="512"/>
      <c r="M126" s="504">
        <f t="shared" si="30"/>
        <v>0</v>
      </c>
      <c r="N126" s="512"/>
      <c r="O126" s="504">
        <f t="shared" si="22"/>
        <v>0</v>
      </c>
      <c r="P126" s="504">
        <f t="shared" si="23"/>
        <v>0</v>
      </c>
      <c r="Q126" s="243"/>
      <c r="R126" s="243"/>
      <c r="S126" s="243"/>
      <c r="T126" s="243"/>
      <c r="U126" s="243"/>
    </row>
    <row r="127" spans="2:21">
      <c r="B127" s="145" t="str">
        <f t="shared" si="18"/>
        <v/>
      </c>
      <c r="C127" s="495">
        <f>IF(D94="","-",+C126+1)</f>
        <v>2041</v>
      </c>
      <c r="D127" s="349">
        <f>IF(F126+SUM(E$100:E126)=D$93,F126,D$93-SUM(E$100:E126))</f>
        <v>0</v>
      </c>
      <c r="E127" s="509">
        <f t="shared" si="25"/>
        <v>0</v>
      </c>
      <c r="F127" s="510">
        <f t="shared" si="26"/>
        <v>0</v>
      </c>
      <c r="G127" s="510">
        <f t="shared" si="27"/>
        <v>0</v>
      </c>
      <c r="H127" s="523">
        <f t="shared" si="28"/>
        <v>0</v>
      </c>
      <c r="I127" s="572">
        <f t="shared" si="29"/>
        <v>0</v>
      </c>
      <c r="J127" s="504">
        <f t="shared" si="24"/>
        <v>0</v>
      </c>
      <c r="K127" s="504"/>
      <c r="L127" s="512"/>
      <c r="M127" s="504">
        <f t="shared" si="30"/>
        <v>0</v>
      </c>
      <c r="N127" s="512"/>
      <c r="O127" s="504">
        <f t="shared" si="22"/>
        <v>0</v>
      </c>
      <c r="P127" s="504">
        <f t="shared" si="23"/>
        <v>0</v>
      </c>
      <c r="Q127" s="243"/>
      <c r="R127" s="243"/>
      <c r="S127" s="243"/>
      <c r="T127" s="243"/>
      <c r="U127" s="243"/>
    </row>
    <row r="128" spans="2:21">
      <c r="B128" s="145" t="str">
        <f t="shared" si="18"/>
        <v/>
      </c>
      <c r="C128" s="495">
        <f>IF(D94="","-",+C127+1)</f>
        <v>2042</v>
      </c>
      <c r="D128" s="349">
        <f>IF(F127+SUM(E$100:E127)=D$93,F127,D$93-SUM(E$100:E127))</f>
        <v>0</v>
      </c>
      <c r="E128" s="509">
        <f t="shared" si="25"/>
        <v>0</v>
      </c>
      <c r="F128" s="510">
        <f t="shared" si="26"/>
        <v>0</v>
      </c>
      <c r="G128" s="510">
        <f t="shared" si="27"/>
        <v>0</v>
      </c>
      <c r="H128" s="523">
        <f t="shared" si="28"/>
        <v>0</v>
      </c>
      <c r="I128" s="572">
        <f t="shared" si="29"/>
        <v>0</v>
      </c>
      <c r="J128" s="504">
        <f t="shared" si="24"/>
        <v>0</v>
      </c>
      <c r="K128" s="504"/>
      <c r="L128" s="512"/>
      <c r="M128" s="504">
        <f t="shared" si="30"/>
        <v>0</v>
      </c>
      <c r="N128" s="512"/>
      <c r="O128" s="504">
        <f t="shared" si="22"/>
        <v>0</v>
      </c>
      <c r="P128" s="504">
        <f t="shared" si="23"/>
        <v>0</v>
      </c>
      <c r="Q128" s="243"/>
      <c r="R128" s="243"/>
      <c r="S128" s="243"/>
      <c r="T128" s="243"/>
      <c r="U128" s="243"/>
    </row>
    <row r="129" spans="2:21">
      <c r="B129" s="145" t="str">
        <f t="shared" si="18"/>
        <v/>
      </c>
      <c r="C129" s="495">
        <f>IF(D94="","-",+C128+1)</f>
        <v>2043</v>
      </c>
      <c r="D129" s="349">
        <f>IF(F128+SUM(E$100:E128)=D$93,F128,D$93-SUM(E$100:E128))</f>
        <v>0</v>
      </c>
      <c r="E129" s="509">
        <f t="shared" si="25"/>
        <v>0</v>
      </c>
      <c r="F129" s="510">
        <f t="shared" si="26"/>
        <v>0</v>
      </c>
      <c r="G129" s="510">
        <f t="shared" si="27"/>
        <v>0</v>
      </c>
      <c r="H129" s="523">
        <f t="shared" si="28"/>
        <v>0</v>
      </c>
      <c r="I129" s="572">
        <f t="shared" si="29"/>
        <v>0</v>
      </c>
      <c r="J129" s="504">
        <f t="shared" si="24"/>
        <v>0</v>
      </c>
      <c r="K129" s="504"/>
      <c r="L129" s="512"/>
      <c r="M129" s="504">
        <f t="shared" si="30"/>
        <v>0</v>
      </c>
      <c r="N129" s="512"/>
      <c r="O129" s="504">
        <f t="shared" si="22"/>
        <v>0</v>
      </c>
      <c r="P129" s="504">
        <f t="shared" si="23"/>
        <v>0</v>
      </c>
      <c r="Q129" s="243"/>
      <c r="R129" s="243"/>
      <c r="S129" s="243"/>
      <c r="T129" s="243"/>
      <c r="U129" s="243"/>
    </row>
    <row r="130" spans="2:21">
      <c r="B130" s="145" t="str">
        <f t="shared" si="18"/>
        <v/>
      </c>
      <c r="C130" s="495">
        <f>IF(D94="","-",+C129+1)</f>
        <v>2044</v>
      </c>
      <c r="D130" s="349">
        <f>IF(F129+SUM(E$100:E129)=D$93,F129,D$93-SUM(E$100:E129))</f>
        <v>0</v>
      </c>
      <c r="E130" s="509">
        <f t="shared" si="25"/>
        <v>0</v>
      </c>
      <c r="F130" s="510">
        <f t="shared" si="26"/>
        <v>0</v>
      </c>
      <c r="G130" s="510">
        <f t="shared" si="27"/>
        <v>0</v>
      </c>
      <c r="H130" s="523">
        <f t="shared" si="28"/>
        <v>0</v>
      </c>
      <c r="I130" s="572">
        <f t="shared" si="29"/>
        <v>0</v>
      </c>
      <c r="J130" s="504">
        <f t="shared" si="24"/>
        <v>0</v>
      </c>
      <c r="K130" s="504"/>
      <c r="L130" s="512"/>
      <c r="M130" s="504">
        <f t="shared" si="30"/>
        <v>0</v>
      </c>
      <c r="N130" s="512"/>
      <c r="O130" s="504">
        <f t="shared" si="22"/>
        <v>0</v>
      </c>
      <c r="P130" s="504">
        <f t="shared" si="23"/>
        <v>0</v>
      </c>
      <c r="Q130" s="243"/>
      <c r="R130" s="243"/>
      <c r="S130" s="243"/>
      <c r="T130" s="243"/>
      <c r="U130" s="243"/>
    </row>
    <row r="131" spans="2:21">
      <c r="B131" s="145" t="str">
        <f t="shared" si="18"/>
        <v/>
      </c>
      <c r="C131" s="495">
        <f>IF(D94="","-",+C130+1)</f>
        <v>2045</v>
      </c>
      <c r="D131" s="349">
        <f>IF(F130+SUM(E$100:E130)=D$93,F130,D$93-SUM(E$100:E130))</f>
        <v>0</v>
      </c>
      <c r="E131" s="509">
        <f t="shared" si="25"/>
        <v>0</v>
      </c>
      <c r="F131" s="510">
        <f t="shared" si="26"/>
        <v>0</v>
      </c>
      <c r="G131" s="510">
        <f t="shared" si="27"/>
        <v>0</v>
      </c>
      <c r="H131" s="523">
        <f t="shared" si="28"/>
        <v>0</v>
      </c>
      <c r="I131" s="572">
        <f t="shared" si="29"/>
        <v>0</v>
      </c>
      <c r="J131" s="504">
        <f t="shared" si="24"/>
        <v>0</v>
      </c>
      <c r="K131" s="504"/>
      <c r="L131" s="512"/>
      <c r="M131" s="504">
        <f t="shared" si="30"/>
        <v>0</v>
      </c>
      <c r="N131" s="512"/>
      <c r="O131" s="504">
        <f t="shared" si="22"/>
        <v>0</v>
      </c>
      <c r="P131" s="504">
        <f t="shared" si="23"/>
        <v>0</v>
      </c>
      <c r="Q131" s="243"/>
      <c r="R131" s="243"/>
      <c r="S131" s="243"/>
      <c r="T131" s="243"/>
      <c r="U131" s="243"/>
    </row>
    <row r="132" spans="2:21">
      <c r="B132" s="145" t="str">
        <f t="shared" si="18"/>
        <v/>
      </c>
      <c r="C132" s="495">
        <f>IF(D94="","-",+C131+1)</f>
        <v>2046</v>
      </c>
      <c r="D132" s="349">
        <f>IF(F131+SUM(E$100:E131)=D$93,F131,D$93-SUM(E$100:E131))</f>
        <v>0</v>
      </c>
      <c r="E132" s="509">
        <f t="shared" si="25"/>
        <v>0</v>
      </c>
      <c r="F132" s="510">
        <f t="shared" si="26"/>
        <v>0</v>
      </c>
      <c r="G132" s="510">
        <f t="shared" si="27"/>
        <v>0</v>
      </c>
      <c r="H132" s="523">
        <f t="shared" si="28"/>
        <v>0</v>
      </c>
      <c r="I132" s="572">
        <f t="shared" si="29"/>
        <v>0</v>
      </c>
      <c r="J132" s="504">
        <f t="shared" si="24"/>
        <v>0</v>
      </c>
      <c r="K132" s="504"/>
      <c r="L132" s="512"/>
      <c r="M132" s="504">
        <f t="shared" ref="M132:M155" si="31">IF(L542&lt;&gt;0,+H542-L542,0)</f>
        <v>0</v>
      </c>
      <c r="N132" s="512"/>
      <c r="O132" s="504">
        <f t="shared" ref="O132:O155" si="32">IF(N542&lt;&gt;0,+I542-N542,0)</f>
        <v>0</v>
      </c>
      <c r="P132" s="504">
        <f t="shared" ref="P132:P155" si="33">+O542-M542</f>
        <v>0</v>
      </c>
      <c r="Q132" s="243"/>
      <c r="R132" s="243"/>
      <c r="S132" s="243"/>
      <c r="T132" s="243"/>
      <c r="U132" s="243"/>
    </row>
    <row r="133" spans="2:21">
      <c r="B133" s="145" t="str">
        <f t="shared" si="18"/>
        <v/>
      </c>
      <c r="C133" s="495">
        <f>IF(D94="","-",+C132+1)</f>
        <v>2047</v>
      </c>
      <c r="D133" s="349">
        <f>IF(F132+SUM(E$100:E132)=D$93,F132,D$93-SUM(E$100:E132))</f>
        <v>0</v>
      </c>
      <c r="E133" s="509">
        <f t="shared" si="25"/>
        <v>0</v>
      </c>
      <c r="F133" s="510">
        <f t="shared" si="26"/>
        <v>0</v>
      </c>
      <c r="G133" s="510">
        <f t="shared" si="27"/>
        <v>0</v>
      </c>
      <c r="H133" s="523">
        <f t="shared" si="28"/>
        <v>0</v>
      </c>
      <c r="I133" s="572">
        <f t="shared" si="29"/>
        <v>0</v>
      </c>
      <c r="J133" s="504">
        <f t="shared" si="24"/>
        <v>0</v>
      </c>
      <c r="K133" s="504"/>
      <c r="L133" s="512"/>
      <c r="M133" s="504">
        <f t="shared" si="31"/>
        <v>0</v>
      </c>
      <c r="N133" s="512"/>
      <c r="O133" s="504">
        <f t="shared" si="32"/>
        <v>0</v>
      </c>
      <c r="P133" s="504">
        <f t="shared" si="33"/>
        <v>0</v>
      </c>
      <c r="Q133" s="243"/>
      <c r="R133" s="243"/>
      <c r="S133" s="243"/>
      <c r="T133" s="243"/>
      <c r="U133" s="243"/>
    </row>
    <row r="134" spans="2:21">
      <c r="B134" s="145" t="str">
        <f t="shared" si="18"/>
        <v/>
      </c>
      <c r="C134" s="495">
        <f>IF(D94="","-",+C133+1)</f>
        <v>2048</v>
      </c>
      <c r="D134" s="349">
        <f>IF(F133+SUM(E$100:E133)=D$93,F133,D$93-SUM(E$100:E133))</f>
        <v>0</v>
      </c>
      <c r="E134" s="509">
        <f t="shared" si="25"/>
        <v>0</v>
      </c>
      <c r="F134" s="510">
        <f t="shared" si="26"/>
        <v>0</v>
      </c>
      <c r="G134" s="510">
        <f t="shared" si="27"/>
        <v>0</v>
      </c>
      <c r="H134" s="523">
        <f t="shared" si="28"/>
        <v>0</v>
      </c>
      <c r="I134" s="572">
        <f t="shared" si="29"/>
        <v>0</v>
      </c>
      <c r="J134" s="504">
        <f t="shared" si="24"/>
        <v>0</v>
      </c>
      <c r="K134" s="504"/>
      <c r="L134" s="512"/>
      <c r="M134" s="504">
        <f t="shared" si="31"/>
        <v>0</v>
      </c>
      <c r="N134" s="512"/>
      <c r="O134" s="504">
        <f t="shared" si="32"/>
        <v>0</v>
      </c>
      <c r="P134" s="504">
        <f t="shared" si="33"/>
        <v>0</v>
      </c>
      <c r="Q134" s="243"/>
      <c r="R134" s="243"/>
      <c r="S134" s="243"/>
      <c r="T134" s="243"/>
      <c r="U134" s="243"/>
    </row>
    <row r="135" spans="2:21">
      <c r="B135" s="145" t="str">
        <f t="shared" si="18"/>
        <v/>
      </c>
      <c r="C135" s="495">
        <f>IF(D94="","-",+C134+1)</f>
        <v>2049</v>
      </c>
      <c r="D135" s="349">
        <f>IF(F134+SUM(E$100:E134)=D$93,F134,D$93-SUM(E$100:E134))</f>
        <v>0</v>
      </c>
      <c r="E135" s="509">
        <f t="shared" si="25"/>
        <v>0</v>
      </c>
      <c r="F135" s="510">
        <f t="shared" si="26"/>
        <v>0</v>
      </c>
      <c r="G135" s="510">
        <f t="shared" si="27"/>
        <v>0</v>
      </c>
      <c r="H135" s="523">
        <f t="shared" si="28"/>
        <v>0</v>
      </c>
      <c r="I135" s="572">
        <f t="shared" si="29"/>
        <v>0</v>
      </c>
      <c r="J135" s="504">
        <f t="shared" si="24"/>
        <v>0</v>
      </c>
      <c r="K135" s="504"/>
      <c r="L135" s="512"/>
      <c r="M135" s="504">
        <f t="shared" si="31"/>
        <v>0</v>
      </c>
      <c r="N135" s="512"/>
      <c r="O135" s="504">
        <f t="shared" si="32"/>
        <v>0</v>
      </c>
      <c r="P135" s="504">
        <f t="shared" si="33"/>
        <v>0</v>
      </c>
      <c r="Q135" s="243"/>
      <c r="R135" s="243"/>
      <c r="S135" s="243"/>
      <c r="T135" s="243"/>
      <c r="U135" s="243"/>
    </row>
    <row r="136" spans="2:21">
      <c r="B136" s="145" t="str">
        <f t="shared" si="18"/>
        <v/>
      </c>
      <c r="C136" s="495">
        <f>IF(D94="","-",+C135+1)</f>
        <v>2050</v>
      </c>
      <c r="D136" s="349">
        <f>IF(F135+SUM(E$100:E135)=D$93,F135,D$93-SUM(E$100:E135))</f>
        <v>0</v>
      </c>
      <c r="E136" s="509">
        <f t="shared" si="25"/>
        <v>0</v>
      </c>
      <c r="F136" s="510">
        <f t="shared" si="26"/>
        <v>0</v>
      </c>
      <c r="G136" s="510">
        <f t="shared" si="27"/>
        <v>0</v>
      </c>
      <c r="H136" s="523">
        <f t="shared" si="28"/>
        <v>0</v>
      </c>
      <c r="I136" s="572">
        <f t="shared" si="29"/>
        <v>0</v>
      </c>
      <c r="J136" s="504">
        <f t="shared" si="24"/>
        <v>0</v>
      </c>
      <c r="K136" s="504"/>
      <c r="L136" s="512"/>
      <c r="M136" s="504">
        <f t="shared" si="31"/>
        <v>0</v>
      </c>
      <c r="N136" s="512"/>
      <c r="O136" s="504">
        <f t="shared" si="32"/>
        <v>0</v>
      </c>
      <c r="P136" s="504">
        <f t="shared" si="33"/>
        <v>0</v>
      </c>
      <c r="Q136" s="243"/>
      <c r="R136" s="243"/>
      <c r="S136" s="243"/>
      <c r="T136" s="243"/>
      <c r="U136" s="243"/>
    </row>
    <row r="137" spans="2:21">
      <c r="B137" s="145" t="str">
        <f t="shared" si="18"/>
        <v/>
      </c>
      <c r="C137" s="495">
        <f>IF(D94="","-",+C136+1)</f>
        <v>2051</v>
      </c>
      <c r="D137" s="349">
        <f>IF(F136+SUM(E$100:E136)=D$93,F136,D$93-SUM(E$100:E136))</f>
        <v>0</v>
      </c>
      <c r="E137" s="509">
        <f t="shared" si="25"/>
        <v>0</v>
      </c>
      <c r="F137" s="510">
        <f t="shared" si="26"/>
        <v>0</v>
      </c>
      <c r="G137" s="510">
        <f t="shared" si="27"/>
        <v>0</v>
      </c>
      <c r="H137" s="523">
        <f t="shared" si="28"/>
        <v>0</v>
      </c>
      <c r="I137" s="572">
        <f t="shared" si="29"/>
        <v>0</v>
      </c>
      <c r="J137" s="504">
        <f t="shared" si="24"/>
        <v>0</v>
      </c>
      <c r="K137" s="504"/>
      <c r="L137" s="512"/>
      <c r="M137" s="504">
        <f t="shared" si="31"/>
        <v>0</v>
      </c>
      <c r="N137" s="512"/>
      <c r="O137" s="504">
        <f t="shared" si="32"/>
        <v>0</v>
      </c>
      <c r="P137" s="504">
        <f t="shared" si="33"/>
        <v>0</v>
      </c>
      <c r="Q137" s="243"/>
      <c r="R137" s="243"/>
      <c r="S137" s="243"/>
      <c r="T137" s="243"/>
      <c r="U137" s="243"/>
    </row>
    <row r="138" spans="2:21">
      <c r="B138" s="145" t="str">
        <f t="shared" si="18"/>
        <v/>
      </c>
      <c r="C138" s="495">
        <f>IF(D94="","-",+C137+1)</f>
        <v>2052</v>
      </c>
      <c r="D138" s="349">
        <f>IF(F137+SUM(E$100:E137)=D$93,F137,D$93-SUM(E$100:E137))</f>
        <v>0</v>
      </c>
      <c r="E138" s="509">
        <f t="shared" si="25"/>
        <v>0</v>
      </c>
      <c r="F138" s="510">
        <f t="shared" si="26"/>
        <v>0</v>
      </c>
      <c r="G138" s="510">
        <f t="shared" si="27"/>
        <v>0</v>
      </c>
      <c r="H138" s="523">
        <f t="shared" si="28"/>
        <v>0</v>
      </c>
      <c r="I138" s="572">
        <f t="shared" si="29"/>
        <v>0</v>
      </c>
      <c r="J138" s="504">
        <f t="shared" si="24"/>
        <v>0</v>
      </c>
      <c r="K138" s="504"/>
      <c r="L138" s="512"/>
      <c r="M138" s="504">
        <f t="shared" si="31"/>
        <v>0</v>
      </c>
      <c r="N138" s="512"/>
      <c r="O138" s="504">
        <f t="shared" si="32"/>
        <v>0</v>
      </c>
      <c r="P138" s="504">
        <f t="shared" si="33"/>
        <v>0</v>
      </c>
      <c r="Q138" s="243"/>
      <c r="R138" s="243"/>
      <c r="S138" s="243"/>
      <c r="T138" s="243"/>
      <c r="U138" s="243"/>
    </row>
    <row r="139" spans="2:21">
      <c r="B139" s="145" t="str">
        <f t="shared" si="18"/>
        <v/>
      </c>
      <c r="C139" s="495">
        <f>IF(D94="","-",+C138+1)</f>
        <v>2053</v>
      </c>
      <c r="D139" s="349">
        <f>IF(F138+SUM(E$100:E138)=D$93,F138,D$93-SUM(E$100:E138))</f>
        <v>0</v>
      </c>
      <c r="E139" s="509">
        <f t="shared" si="25"/>
        <v>0</v>
      </c>
      <c r="F139" s="510">
        <f t="shared" si="26"/>
        <v>0</v>
      </c>
      <c r="G139" s="510">
        <f t="shared" si="27"/>
        <v>0</v>
      </c>
      <c r="H139" s="523">
        <f t="shared" si="28"/>
        <v>0</v>
      </c>
      <c r="I139" s="572">
        <f t="shared" si="29"/>
        <v>0</v>
      </c>
      <c r="J139" s="504">
        <f t="shared" si="24"/>
        <v>0</v>
      </c>
      <c r="K139" s="504"/>
      <c r="L139" s="512"/>
      <c r="M139" s="504">
        <f t="shared" si="31"/>
        <v>0</v>
      </c>
      <c r="N139" s="512"/>
      <c r="O139" s="504">
        <f t="shared" si="32"/>
        <v>0</v>
      </c>
      <c r="P139" s="504">
        <f t="shared" si="33"/>
        <v>0</v>
      </c>
      <c r="Q139" s="243"/>
      <c r="R139" s="243"/>
      <c r="S139" s="243"/>
      <c r="T139" s="243"/>
      <c r="U139" s="243"/>
    </row>
    <row r="140" spans="2:21">
      <c r="B140" s="145" t="str">
        <f t="shared" si="18"/>
        <v/>
      </c>
      <c r="C140" s="495">
        <f>IF(D94="","-",+C139+1)</f>
        <v>2054</v>
      </c>
      <c r="D140" s="349">
        <f>IF(F139+SUM(E$100:E139)=D$93,F139,D$93-SUM(E$100:E139))</f>
        <v>0</v>
      </c>
      <c r="E140" s="509">
        <f t="shared" si="25"/>
        <v>0</v>
      </c>
      <c r="F140" s="510">
        <f t="shared" si="26"/>
        <v>0</v>
      </c>
      <c r="G140" s="510">
        <f t="shared" si="27"/>
        <v>0</v>
      </c>
      <c r="H140" s="523">
        <f t="shared" si="28"/>
        <v>0</v>
      </c>
      <c r="I140" s="572">
        <f t="shared" si="29"/>
        <v>0</v>
      </c>
      <c r="J140" s="504">
        <f t="shared" si="24"/>
        <v>0</v>
      </c>
      <c r="K140" s="504"/>
      <c r="L140" s="512"/>
      <c r="M140" s="504">
        <f t="shared" si="31"/>
        <v>0</v>
      </c>
      <c r="N140" s="512"/>
      <c r="O140" s="504">
        <f t="shared" si="32"/>
        <v>0</v>
      </c>
      <c r="P140" s="504">
        <f t="shared" si="33"/>
        <v>0</v>
      </c>
      <c r="Q140" s="243"/>
      <c r="R140" s="243"/>
      <c r="S140" s="243"/>
      <c r="T140" s="243"/>
      <c r="U140" s="243"/>
    </row>
    <row r="141" spans="2:21">
      <c r="B141" s="145" t="str">
        <f t="shared" si="18"/>
        <v/>
      </c>
      <c r="C141" s="495">
        <f>IF(D94="","-",+C140+1)</f>
        <v>2055</v>
      </c>
      <c r="D141" s="349">
        <f>IF(F140+SUM(E$100:E140)=D$93,F140,D$93-SUM(E$100:E140))</f>
        <v>0</v>
      </c>
      <c r="E141" s="509">
        <f t="shared" si="25"/>
        <v>0</v>
      </c>
      <c r="F141" s="510">
        <f t="shared" si="26"/>
        <v>0</v>
      </c>
      <c r="G141" s="510">
        <f t="shared" si="27"/>
        <v>0</v>
      </c>
      <c r="H141" s="523">
        <f t="shared" si="28"/>
        <v>0</v>
      </c>
      <c r="I141" s="572">
        <f t="shared" si="29"/>
        <v>0</v>
      </c>
      <c r="J141" s="504">
        <f t="shared" si="24"/>
        <v>0</v>
      </c>
      <c r="K141" s="504"/>
      <c r="L141" s="512"/>
      <c r="M141" s="504">
        <f t="shared" si="31"/>
        <v>0</v>
      </c>
      <c r="N141" s="512"/>
      <c r="O141" s="504">
        <f t="shared" si="32"/>
        <v>0</v>
      </c>
      <c r="P141" s="504">
        <f t="shared" si="33"/>
        <v>0</v>
      </c>
      <c r="Q141" s="243"/>
      <c r="R141" s="243"/>
      <c r="S141" s="243"/>
      <c r="T141" s="243"/>
      <c r="U141" s="243"/>
    </row>
    <row r="142" spans="2:21">
      <c r="B142" s="145" t="str">
        <f t="shared" si="18"/>
        <v/>
      </c>
      <c r="C142" s="495">
        <f>IF(D94="","-",+C141+1)</f>
        <v>2056</v>
      </c>
      <c r="D142" s="349">
        <f>IF(F141+SUM(E$100:E141)=D$93,F141,D$93-SUM(E$100:E141))</f>
        <v>0</v>
      </c>
      <c r="E142" s="509">
        <f t="shared" si="25"/>
        <v>0</v>
      </c>
      <c r="F142" s="510">
        <f t="shared" si="26"/>
        <v>0</v>
      </c>
      <c r="G142" s="510">
        <f t="shared" si="27"/>
        <v>0</v>
      </c>
      <c r="H142" s="523">
        <f t="shared" si="28"/>
        <v>0</v>
      </c>
      <c r="I142" s="572">
        <f t="shared" si="29"/>
        <v>0</v>
      </c>
      <c r="J142" s="504">
        <f t="shared" si="24"/>
        <v>0</v>
      </c>
      <c r="K142" s="504"/>
      <c r="L142" s="512"/>
      <c r="M142" s="504">
        <f t="shared" si="31"/>
        <v>0</v>
      </c>
      <c r="N142" s="512"/>
      <c r="O142" s="504">
        <f t="shared" si="32"/>
        <v>0</v>
      </c>
      <c r="P142" s="504">
        <f t="shared" si="33"/>
        <v>0</v>
      </c>
      <c r="Q142" s="243"/>
      <c r="R142" s="243"/>
      <c r="S142" s="243"/>
      <c r="T142" s="243"/>
      <c r="U142" s="243"/>
    </row>
    <row r="143" spans="2:21">
      <c r="B143" s="145" t="str">
        <f t="shared" si="18"/>
        <v/>
      </c>
      <c r="C143" s="495">
        <f>IF(D94="","-",+C142+1)</f>
        <v>2057</v>
      </c>
      <c r="D143" s="349">
        <f>IF(F142+SUM(E$100:E142)=D$93,F142,D$93-SUM(E$100:E142))</f>
        <v>0</v>
      </c>
      <c r="E143" s="509">
        <f t="shared" si="25"/>
        <v>0</v>
      </c>
      <c r="F143" s="510">
        <f t="shared" si="26"/>
        <v>0</v>
      </c>
      <c r="G143" s="510">
        <f t="shared" si="27"/>
        <v>0</v>
      </c>
      <c r="H143" s="523">
        <f t="shared" si="28"/>
        <v>0</v>
      </c>
      <c r="I143" s="572">
        <f t="shared" si="29"/>
        <v>0</v>
      </c>
      <c r="J143" s="504">
        <f t="shared" si="24"/>
        <v>0</v>
      </c>
      <c r="K143" s="504"/>
      <c r="L143" s="512"/>
      <c r="M143" s="504">
        <f t="shared" si="31"/>
        <v>0</v>
      </c>
      <c r="N143" s="512"/>
      <c r="O143" s="504">
        <f t="shared" si="32"/>
        <v>0</v>
      </c>
      <c r="P143" s="504">
        <f t="shared" si="33"/>
        <v>0</v>
      </c>
      <c r="Q143" s="243"/>
      <c r="R143" s="243"/>
      <c r="S143" s="243"/>
      <c r="T143" s="243"/>
      <c r="U143" s="243"/>
    </row>
    <row r="144" spans="2:21">
      <c r="B144" s="145" t="str">
        <f t="shared" si="18"/>
        <v/>
      </c>
      <c r="C144" s="495">
        <f>IF(D94="","-",+C143+1)</f>
        <v>2058</v>
      </c>
      <c r="D144" s="349">
        <f>IF(F143+SUM(E$100:E143)=D$93,F143,D$93-SUM(E$100:E143))</f>
        <v>0</v>
      </c>
      <c r="E144" s="509">
        <f t="shared" si="25"/>
        <v>0</v>
      </c>
      <c r="F144" s="510">
        <f t="shared" si="26"/>
        <v>0</v>
      </c>
      <c r="G144" s="510">
        <f t="shared" si="27"/>
        <v>0</v>
      </c>
      <c r="H144" s="523">
        <f t="shared" si="28"/>
        <v>0</v>
      </c>
      <c r="I144" s="572">
        <f t="shared" si="29"/>
        <v>0</v>
      </c>
      <c r="J144" s="504">
        <f t="shared" si="24"/>
        <v>0</v>
      </c>
      <c r="K144" s="504"/>
      <c r="L144" s="512"/>
      <c r="M144" s="504">
        <f t="shared" si="31"/>
        <v>0</v>
      </c>
      <c r="N144" s="512"/>
      <c r="O144" s="504">
        <f t="shared" si="32"/>
        <v>0</v>
      </c>
      <c r="P144" s="504">
        <f t="shared" si="33"/>
        <v>0</v>
      </c>
      <c r="Q144" s="243"/>
      <c r="R144" s="243"/>
      <c r="S144" s="243"/>
      <c r="T144" s="243"/>
      <c r="U144" s="243"/>
    </row>
    <row r="145" spans="2:21">
      <c r="B145" s="145" t="str">
        <f t="shared" si="18"/>
        <v/>
      </c>
      <c r="C145" s="495">
        <f>IF(D94="","-",+C144+1)</f>
        <v>2059</v>
      </c>
      <c r="D145" s="349">
        <f>IF(F144+SUM(E$100:E144)=D$93,F144,D$93-SUM(E$100:E144))</f>
        <v>0</v>
      </c>
      <c r="E145" s="509">
        <f t="shared" si="25"/>
        <v>0</v>
      </c>
      <c r="F145" s="510">
        <f t="shared" si="26"/>
        <v>0</v>
      </c>
      <c r="G145" s="510">
        <f t="shared" si="27"/>
        <v>0</v>
      </c>
      <c r="H145" s="523">
        <f t="shared" si="28"/>
        <v>0</v>
      </c>
      <c r="I145" s="572">
        <f t="shared" si="29"/>
        <v>0</v>
      </c>
      <c r="J145" s="504">
        <f t="shared" si="24"/>
        <v>0</v>
      </c>
      <c r="K145" s="504"/>
      <c r="L145" s="512"/>
      <c r="M145" s="504">
        <f t="shared" si="31"/>
        <v>0</v>
      </c>
      <c r="N145" s="512"/>
      <c r="O145" s="504">
        <f t="shared" si="32"/>
        <v>0</v>
      </c>
      <c r="P145" s="504">
        <f t="shared" si="33"/>
        <v>0</v>
      </c>
      <c r="Q145" s="243"/>
      <c r="R145" s="243"/>
      <c r="S145" s="243"/>
      <c r="T145" s="243"/>
      <c r="U145" s="243"/>
    </row>
    <row r="146" spans="2:21">
      <c r="B146" s="145" t="str">
        <f t="shared" si="18"/>
        <v/>
      </c>
      <c r="C146" s="495">
        <f>IF(D94="","-",+C145+1)</f>
        <v>2060</v>
      </c>
      <c r="D146" s="349">
        <f>IF(F145+SUM(E$100:E145)=D$93,F145,D$93-SUM(E$100:E145))</f>
        <v>0</v>
      </c>
      <c r="E146" s="509">
        <f t="shared" si="25"/>
        <v>0</v>
      </c>
      <c r="F146" s="510">
        <f t="shared" si="26"/>
        <v>0</v>
      </c>
      <c r="G146" s="510">
        <f t="shared" si="27"/>
        <v>0</v>
      </c>
      <c r="H146" s="523">
        <f t="shared" si="28"/>
        <v>0</v>
      </c>
      <c r="I146" s="572">
        <f t="shared" si="29"/>
        <v>0</v>
      </c>
      <c r="J146" s="504">
        <f t="shared" si="24"/>
        <v>0</v>
      </c>
      <c r="K146" s="504"/>
      <c r="L146" s="512"/>
      <c r="M146" s="504">
        <f t="shared" si="31"/>
        <v>0</v>
      </c>
      <c r="N146" s="512"/>
      <c r="O146" s="504">
        <f t="shared" si="32"/>
        <v>0</v>
      </c>
      <c r="P146" s="504">
        <f t="shared" si="33"/>
        <v>0</v>
      </c>
      <c r="Q146" s="243"/>
      <c r="R146" s="243"/>
      <c r="S146" s="243"/>
      <c r="T146" s="243"/>
      <c r="U146" s="243"/>
    </row>
    <row r="147" spans="2:21">
      <c r="B147" s="145" t="str">
        <f t="shared" si="18"/>
        <v/>
      </c>
      <c r="C147" s="495">
        <f>IF(D94="","-",+C146+1)</f>
        <v>2061</v>
      </c>
      <c r="D147" s="349">
        <f>IF(F146+SUM(E$100:E146)=D$93,F146,D$93-SUM(E$100:E146))</f>
        <v>0</v>
      </c>
      <c r="E147" s="509">
        <f t="shared" si="25"/>
        <v>0</v>
      </c>
      <c r="F147" s="510">
        <f t="shared" si="26"/>
        <v>0</v>
      </c>
      <c r="G147" s="510">
        <f t="shared" si="27"/>
        <v>0</v>
      </c>
      <c r="H147" s="523">
        <f t="shared" si="28"/>
        <v>0</v>
      </c>
      <c r="I147" s="572">
        <f t="shared" si="29"/>
        <v>0</v>
      </c>
      <c r="J147" s="504">
        <f t="shared" si="24"/>
        <v>0</v>
      </c>
      <c r="K147" s="504"/>
      <c r="L147" s="512"/>
      <c r="M147" s="504">
        <f t="shared" si="31"/>
        <v>0</v>
      </c>
      <c r="N147" s="512"/>
      <c r="O147" s="504">
        <f t="shared" si="32"/>
        <v>0</v>
      </c>
      <c r="P147" s="504">
        <f t="shared" si="33"/>
        <v>0</v>
      </c>
      <c r="Q147" s="243"/>
      <c r="R147" s="243"/>
      <c r="S147" s="243"/>
      <c r="T147" s="243"/>
      <c r="U147" s="243"/>
    </row>
    <row r="148" spans="2:21">
      <c r="B148" s="145" t="str">
        <f t="shared" si="18"/>
        <v/>
      </c>
      <c r="C148" s="495">
        <f>IF(D94="","-",+C147+1)</f>
        <v>2062</v>
      </c>
      <c r="D148" s="349">
        <f>IF(F147+SUM(E$100:E147)=D$93,F147,D$93-SUM(E$100:E147))</f>
        <v>0</v>
      </c>
      <c r="E148" s="509">
        <f t="shared" si="25"/>
        <v>0</v>
      </c>
      <c r="F148" s="510">
        <f t="shared" si="26"/>
        <v>0</v>
      </c>
      <c r="G148" s="510">
        <f t="shared" si="27"/>
        <v>0</v>
      </c>
      <c r="H148" s="523">
        <f t="shared" si="28"/>
        <v>0</v>
      </c>
      <c r="I148" s="572">
        <f t="shared" si="29"/>
        <v>0</v>
      </c>
      <c r="J148" s="504">
        <f t="shared" si="24"/>
        <v>0</v>
      </c>
      <c r="K148" s="504"/>
      <c r="L148" s="512"/>
      <c r="M148" s="504">
        <f t="shared" si="31"/>
        <v>0</v>
      </c>
      <c r="N148" s="512"/>
      <c r="O148" s="504">
        <f t="shared" si="32"/>
        <v>0</v>
      </c>
      <c r="P148" s="504">
        <f t="shared" si="33"/>
        <v>0</v>
      </c>
      <c r="Q148" s="243"/>
      <c r="R148" s="243"/>
      <c r="S148" s="243"/>
      <c r="T148" s="243"/>
      <c r="U148" s="243"/>
    </row>
    <row r="149" spans="2:21">
      <c r="B149" s="145" t="str">
        <f t="shared" si="18"/>
        <v/>
      </c>
      <c r="C149" s="495">
        <f>IF(D94="","-",+C148+1)</f>
        <v>2063</v>
      </c>
      <c r="D149" s="349">
        <f>IF(F148+SUM(E$100:E148)=D$93,F148,D$93-SUM(E$100:E148))</f>
        <v>0</v>
      </c>
      <c r="E149" s="509">
        <f t="shared" si="25"/>
        <v>0</v>
      </c>
      <c r="F149" s="510">
        <f t="shared" si="26"/>
        <v>0</v>
      </c>
      <c r="G149" s="510">
        <f t="shared" si="27"/>
        <v>0</v>
      </c>
      <c r="H149" s="523">
        <f t="shared" si="28"/>
        <v>0</v>
      </c>
      <c r="I149" s="572">
        <f t="shared" si="29"/>
        <v>0</v>
      </c>
      <c r="J149" s="504">
        <f t="shared" si="24"/>
        <v>0</v>
      </c>
      <c r="K149" s="504"/>
      <c r="L149" s="512"/>
      <c r="M149" s="504">
        <f t="shared" si="31"/>
        <v>0</v>
      </c>
      <c r="N149" s="512"/>
      <c r="O149" s="504">
        <f t="shared" si="32"/>
        <v>0</v>
      </c>
      <c r="P149" s="504">
        <f t="shared" si="33"/>
        <v>0</v>
      </c>
      <c r="Q149" s="243"/>
      <c r="R149" s="243"/>
      <c r="S149" s="243"/>
      <c r="T149" s="243"/>
      <c r="U149" s="243"/>
    </row>
    <row r="150" spans="2:21">
      <c r="B150" s="145" t="str">
        <f t="shared" si="18"/>
        <v/>
      </c>
      <c r="C150" s="495">
        <f>IF(D94="","-",+C149+1)</f>
        <v>2064</v>
      </c>
      <c r="D150" s="349">
        <f>IF(F149+SUM(E$100:E149)=D$93,F149,D$93-SUM(E$100:E149))</f>
        <v>0</v>
      </c>
      <c r="E150" s="509">
        <f t="shared" si="25"/>
        <v>0</v>
      </c>
      <c r="F150" s="510">
        <f t="shared" si="26"/>
        <v>0</v>
      </c>
      <c r="G150" s="510">
        <f t="shared" si="27"/>
        <v>0</v>
      </c>
      <c r="H150" s="523">
        <f t="shared" si="28"/>
        <v>0</v>
      </c>
      <c r="I150" s="572">
        <f t="shared" si="29"/>
        <v>0</v>
      </c>
      <c r="J150" s="504">
        <f t="shared" si="24"/>
        <v>0</v>
      </c>
      <c r="K150" s="504"/>
      <c r="L150" s="512"/>
      <c r="M150" s="504">
        <f t="shared" si="31"/>
        <v>0</v>
      </c>
      <c r="N150" s="512"/>
      <c r="O150" s="504">
        <f t="shared" si="32"/>
        <v>0</v>
      </c>
      <c r="P150" s="504">
        <f t="shared" si="33"/>
        <v>0</v>
      </c>
      <c r="Q150" s="243"/>
      <c r="R150" s="243"/>
      <c r="S150" s="243"/>
      <c r="T150" s="243"/>
      <c r="U150" s="243"/>
    </row>
    <row r="151" spans="2:21">
      <c r="B151" s="145" t="str">
        <f t="shared" si="18"/>
        <v/>
      </c>
      <c r="C151" s="495">
        <f>IF(D94="","-",+C150+1)</f>
        <v>2065</v>
      </c>
      <c r="D151" s="349">
        <f>IF(F150+SUM(E$100:E150)=D$93,F150,D$93-SUM(E$100:E150))</f>
        <v>0</v>
      </c>
      <c r="E151" s="509">
        <f t="shared" si="25"/>
        <v>0</v>
      </c>
      <c r="F151" s="510">
        <f t="shared" si="26"/>
        <v>0</v>
      </c>
      <c r="G151" s="510">
        <f t="shared" si="27"/>
        <v>0</v>
      </c>
      <c r="H151" s="523">
        <f t="shared" si="28"/>
        <v>0</v>
      </c>
      <c r="I151" s="572">
        <f t="shared" si="29"/>
        <v>0</v>
      </c>
      <c r="J151" s="504">
        <f t="shared" si="24"/>
        <v>0</v>
      </c>
      <c r="K151" s="504"/>
      <c r="L151" s="512"/>
      <c r="M151" s="504">
        <f t="shared" si="31"/>
        <v>0</v>
      </c>
      <c r="N151" s="512"/>
      <c r="O151" s="504">
        <f t="shared" si="32"/>
        <v>0</v>
      </c>
      <c r="P151" s="504">
        <f t="shared" si="33"/>
        <v>0</v>
      </c>
      <c r="Q151" s="243"/>
      <c r="R151" s="243"/>
      <c r="S151" s="243"/>
      <c r="T151" s="243"/>
      <c r="U151" s="243"/>
    </row>
    <row r="152" spans="2:21">
      <c r="B152" s="145" t="str">
        <f t="shared" si="18"/>
        <v/>
      </c>
      <c r="C152" s="495">
        <f>IF(D94="","-",+C151+1)</f>
        <v>2066</v>
      </c>
      <c r="D152" s="349">
        <f>IF(F151+SUM(E$100:E151)=D$93,F151,D$93-SUM(E$100:E151))</f>
        <v>0</v>
      </c>
      <c r="E152" s="509">
        <f t="shared" si="25"/>
        <v>0</v>
      </c>
      <c r="F152" s="510">
        <f t="shared" si="26"/>
        <v>0</v>
      </c>
      <c r="G152" s="510">
        <f t="shared" si="27"/>
        <v>0</v>
      </c>
      <c r="H152" s="523">
        <f t="shared" si="28"/>
        <v>0</v>
      </c>
      <c r="I152" s="572">
        <f t="shared" si="29"/>
        <v>0</v>
      </c>
      <c r="J152" s="504">
        <f t="shared" si="24"/>
        <v>0</v>
      </c>
      <c r="K152" s="504"/>
      <c r="L152" s="512"/>
      <c r="M152" s="504">
        <f t="shared" si="31"/>
        <v>0</v>
      </c>
      <c r="N152" s="512"/>
      <c r="O152" s="504">
        <f t="shared" si="32"/>
        <v>0</v>
      </c>
      <c r="P152" s="504">
        <f t="shared" si="33"/>
        <v>0</v>
      </c>
      <c r="Q152" s="243"/>
      <c r="R152" s="243"/>
      <c r="S152" s="243"/>
      <c r="T152" s="243"/>
      <c r="U152" s="243"/>
    </row>
    <row r="153" spans="2:21">
      <c r="B153" s="145" t="str">
        <f t="shared" si="18"/>
        <v/>
      </c>
      <c r="C153" s="495">
        <f>IF(D94="","-",+C152+1)</f>
        <v>2067</v>
      </c>
      <c r="D153" s="349">
        <f>IF(F152+SUM(E$100:E152)=D$93,F152,D$93-SUM(E$100:E152))</f>
        <v>0</v>
      </c>
      <c r="E153" s="509">
        <f t="shared" si="25"/>
        <v>0</v>
      </c>
      <c r="F153" s="510">
        <f t="shared" si="26"/>
        <v>0</v>
      </c>
      <c r="G153" s="510">
        <f t="shared" si="27"/>
        <v>0</v>
      </c>
      <c r="H153" s="523">
        <f t="shared" si="28"/>
        <v>0</v>
      </c>
      <c r="I153" s="572">
        <f t="shared" si="29"/>
        <v>0</v>
      </c>
      <c r="J153" s="504">
        <f t="shared" si="24"/>
        <v>0</v>
      </c>
      <c r="K153" s="504"/>
      <c r="L153" s="512"/>
      <c r="M153" s="504">
        <f t="shared" si="31"/>
        <v>0</v>
      </c>
      <c r="N153" s="512"/>
      <c r="O153" s="504">
        <f t="shared" si="32"/>
        <v>0</v>
      </c>
      <c r="P153" s="504">
        <f t="shared" si="33"/>
        <v>0</v>
      </c>
      <c r="Q153" s="243"/>
      <c r="R153" s="243"/>
      <c r="S153" s="243"/>
      <c r="T153" s="243"/>
      <c r="U153" s="243"/>
    </row>
    <row r="154" spans="2:21">
      <c r="B154" s="145" t="str">
        <f t="shared" si="18"/>
        <v/>
      </c>
      <c r="C154" s="495">
        <f>IF(D94="","-",+C153+1)</f>
        <v>2068</v>
      </c>
      <c r="D154" s="349">
        <f>IF(F153+SUM(E$100:E153)=D$93,F153,D$93-SUM(E$100:E153))</f>
        <v>0</v>
      </c>
      <c r="E154" s="509">
        <f t="shared" si="25"/>
        <v>0</v>
      </c>
      <c r="F154" s="510">
        <f t="shared" si="26"/>
        <v>0</v>
      </c>
      <c r="G154" s="510">
        <f t="shared" si="27"/>
        <v>0</v>
      </c>
      <c r="H154" s="523">
        <f t="shared" si="28"/>
        <v>0</v>
      </c>
      <c r="I154" s="572">
        <f t="shared" si="29"/>
        <v>0</v>
      </c>
      <c r="J154" s="504">
        <f t="shared" si="24"/>
        <v>0</v>
      </c>
      <c r="K154" s="504"/>
      <c r="L154" s="512"/>
      <c r="M154" s="504">
        <f t="shared" si="31"/>
        <v>0</v>
      </c>
      <c r="N154" s="512"/>
      <c r="O154" s="504">
        <f t="shared" si="32"/>
        <v>0</v>
      </c>
      <c r="P154" s="504">
        <f t="shared" si="33"/>
        <v>0</v>
      </c>
      <c r="Q154" s="243"/>
      <c r="R154" s="243"/>
      <c r="S154" s="243"/>
      <c r="T154" s="243"/>
      <c r="U154" s="243"/>
    </row>
    <row r="155" spans="2:21" ht="13.5" thickBot="1">
      <c r="B155" s="145" t="str">
        <f t="shared" si="18"/>
        <v/>
      </c>
      <c r="C155" s="524">
        <f>IF(D94="","-",+C154+1)</f>
        <v>2069</v>
      </c>
      <c r="D155" s="618">
        <f>IF(F154+SUM(E$100:E154)=D$93,F154,D$93-SUM(E$100:E154))</f>
        <v>0</v>
      </c>
      <c r="E155" s="526">
        <f t="shared" si="25"/>
        <v>0</v>
      </c>
      <c r="F155" s="527">
        <f t="shared" si="26"/>
        <v>0</v>
      </c>
      <c r="G155" s="527">
        <f t="shared" si="27"/>
        <v>0</v>
      </c>
      <c r="H155" s="528">
        <f t="shared" si="28"/>
        <v>0</v>
      </c>
      <c r="I155" s="573">
        <f t="shared" si="29"/>
        <v>0</v>
      </c>
      <c r="J155" s="531">
        <f t="shared" si="24"/>
        <v>0</v>
      </c>
      <c r="K155" s="504"/>
      <c r="L155" s="530"/>
      <c r="M155" s="531">
        <f t="shared" si="31"/>
        <v>0</v>
      </c>
      <c r="N155" s="530"/>
      <c r="O155" s="531">
        <f t="shared" si="32"/>
        <v>0</v>
      </c>
      <c r="P155" s="531">
        <f t="shared" si="33"/>
        <v>0</v>
      </c>
      <c r="Q155" s="243"/>
      <c r="R155" s="243"/>
      <c r="S155" s="243"/>
      <c r="T155" s="243"/>
      <c r="U155" s="243"/>
    </row>
    <row r="156" spans="2:21">
      <c r="C156" s="349" t="s">
        <v>75</v>
      </c>
      <c r="D156" s="294"/>
      <c r="E156" s="294">
        <f>SUM(E100:E155)</f>
        <v>10218098</v>
      </c>
      <c r="F156" s="294"/>
      <c r="G156" s="294"/>
      <c r="H156" s="294">
        <f>SUM(H100:H155)</f>
        <v>25475739.1936258</v>
      </c>
      <c r="I156" s="294">
        <f>SUM(I100:I155)</f>
        <v>25475739.1936258</v>
      </c>
      <c r="J156" s="294">
        <f>SUM(J100:J155)</f>
        <v>0</v>
      </c>
      <c r="K156" s="294"/>
      <c r="L156" s="294"/>
      <c r="M156" s="294"/>
      <c r="N156" s="294"/>
      <c r="O156" s="294"/>
      <c r="P156" s="243"/>
      <c r="Q156" s="243"/>
      <c r="R156" s="243"/>
      <c r="S156" s="243"/>
      <c r="T156" s="243"/>
      <c r="U156" s="243"/>
    </row>
    <row r="157" spans="2:21">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c r="C158" s="574"/>
      <c r="D158" s="292"/>
      <c r="E158" s="243"/>
      <c r="F158" s="243"/>
      <c r="G158" s="243"/>
      <c r="H158" s="243"/>
      <c r="I158" s="325"/>
      <c r="J158" s="325"/>
      <c r="K158" s="294"/>
      <c r="L158" s="325"/>
      <c r="M158" s="325"/>
      <c r="N158" s="325"/>
      <c r="O158" s="325"/>
      <c r="P158" s="243"/>
      <c r="Q158" s="243"/>
      <c r="R158" s="243"/>
      <c r="S158" s="243"/>
      <c r="T158" s="243"/>
      <c r="U158" s="243"/>
    </row>
    <row r="159" spans="2:21">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c r="C162" s="575"/>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47" priority="1" stopIfTrue="1" operator="equal">
      <formula>$I$10</formula>
    </cfRule>
  </conditionalFormatting>
  <conditionalFormatting sqref="C100:C155">
    <cfRule type="cellIs" dxfId="46"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U163"/>
  <sheetViews>
    <sheetView view="pageBreakPreview" zoomScale="78" zoomScaleNormal="100" zoomScaleSheetLayoutView="78"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8 of 23</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229461.48395077669</v>
      </c>
      <c r="P5" s="243"/>
      <c r="R5" s="243"/>
      <c r="S5" s="243"/>
      <c r="T5" s="243"/>
      <c r="U5" s="243"/>
    </row>
    <row r="6" spans="1:21" ht="15.75">
      <c r="C6" s="235"/>
      <c r="D6" s="292"/>
      <c r="E6" s="243"/>
      <c r="F6" s="243"/>
      <c r="G6" s="243"/>
      <c r="H6" s="449"/>
      <c r="I6" s="449"/>
      <c r="J6" s="450"/>
      <c r="K6" s="451" t="s">
        <v>243</v>
      </c>
      <c r="L6" s="452"/>
      <c r="M6" s="278"/>
      <c r="N6" s="453">
        <f>VLOOKUP(I10,C17:I73,6)</f>
        <v>229461.48395077669</v>
      </c>
      <c r="O6" s="243"/>
      <c r="P6" s="243"/>
      <c r="R6" s="243"/>
      <c r="S6" s="243"/>
      <c r="T6" s="243"/>
      <c r="U6" s="243"/>
    </row>
    <row r="7" spans="1:21" ht="13.5" thickBot="1">
      <c r="C7" s="454" t="s">
        <v>46</v>
      </c>
      <c r="D7" s="455" t="s">
        <v>215</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C9" s="463" t="s">
        <v>48</v>
      </c>
      <c r="D9" s="464"/>
      <c r="E9" s="647" t="s">
        <v>305</v>
      </c>
      <c r="F9" s="465"/>
      <c r="G9" s="465"/>
      <c r="H9" s="465"/>
      <c r="I9" s="466"/>
      <c r="J9" s="467"/>
      <c r="O9" s="468"/>
      <c r="P9" s="278"/>
      <c r="R9" s="243"/>
      <c r="S9" s="243"/>
      <c r="T9" s="243"/>
      <c r="U9" s="243"/>
    </row>
    <row r="10" spans="1:21">
      <c r="C10" s="469" t="s">
        <v>49</v>
      </c>
      <c r="D10" s="470">
        <v>1864625.01</v>
      </c>
      <c r="E10" s="299" t="s">
        <v>50</v>
      </c>
      <c r="F10" s="468"/>
      <c r="G10" s="408"/>
      <c r="H10" s="408"/>
      <c r="I10" s="471">
        <f>+OKT.WS.F.BPU.ATRR.Projected!R101</f>
        <v>2022</v>
      </c>
      <c r="J10" s="467"/>
      <c r="K10" s="294" t="s">
        <v>51</v>
      </c>
      <c r="O10" s="278"/>
      <c r="P10" s="278"/>
      <c r="R10" s="243"/>
      <c r="S10" s="243"/>
      <c r="T10" s="243"/>
      <c r="U10" s="243"/>
    </row>
    <row r="11" spans="1:21">
      <c r="C11" s="472" t="s">
        <v>52</v>
      </c>
      <c r="D11" s="473">
        <v>2014</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6</v>
      </c>
      <c r="E12" s="472" t="s">
        <v>55</v>
      </c>
      <c r="F12" s="408"/>
      <c r="G12" s="220"/>
      <c r="H12" s="220"/>
      <c r="I12" s="476">
        <f>OKT.WS.F.BPU.ATRR.Projected!$F$79</f>
        <v>0.11475877389767174</v>
      </c>
      <c r="J12" s="413"/>
      <c r="K12" s="145" t="s">
        <v>56</v>
      </c>
      <c r="O12" s="278"/>
      <c r="P12" s="278"/>
      <c r="R12" s="243"/>
      <c r="S12" s="243"/>
      <c r="T12" s="243"/>
      <c r="U12" s="243"/>
    </row>
    <row r="13" spans="1:21">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56503.788181818185</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73" si="0">IF(D17=F16,"","IU")</f>
        <v>IU</v>
      </c>
      <c r="C17" s="495">
        <f>IF(D11= "","-",D11)</f>
        <v>2014</v>
      </c>
      <c r="D17" s="496">
        <v>669000</v>
      </c>
      <c r="E17" s="497">
        <v>5786.5857813386465</v>
      </c>
      <c r="F17" s="496">
        <v>663213.41421866138</v>
      </c>
      <c r="G17" s="497">
        <v>48353.352128136466</v>
      </c>
      <c r="H17" s="499">
        <v>48353.352128136466</v>
      </c>
      <c r="I17" s="500">
        <v>0</v>
      </c>
      <c r="J17" s="500"/>
      <c r="K17" s="501">
        <f t="shared" ref="K17:K22" si="1">G17</f>
        <v>48353.352128136466</v>
      </c>
      <c r="L17" s="502">
        <f t="shared" ref="L17:L22" si="2">IF(K17&lt;&gt;0,+G17-K17,0)</f>
        <v>0</v>
      </c>
      <c r="M17" s="501">
        <f t="shared" ref="M17:M22" si="3">H17</f>
        <v>48353.352128136466</v>
      </c>
      <c r="N17" s="503">
        <f>IF(M17&lt;&gt;0,+H17-M17,0)</f>
        <v>0</v>
      </c>
      <c r="O17" s="504">
        <f>+N17-L17</f>
        <v>0</v>
      </c>
      <c r="P17" s="278"/>
      <c r="R17" s="243"/>
      <c r="S17" s="243"/>
      <c r="T17" s="243"/>
      <c r="U17" s="243"/>
    </row>
    <row r="18" spans="2:21">
      <c r="B18" s="145" t="str">
        <f t="shared" si="0"/>
        <v/>
      </c>
      <c r="C18" s="495">
        <f>IF(D11="","-",+C17+1)</f>
        <v>2015</v>
      </c>
      <c r="D18" s="614">
        <v>663213.41421866138</v>
      </c>
      <c r="E18" s="613">
        <v>32256.539821806971</v>
      </c>
      <c r="F18" s="614">
        <v>630956.87439685443</v>
      </c>
      <c r="G18" s="613">
        <v>97286.386538537452</v>
      </c>
      <c r="H18" s="617">
        <v>97286.386538537452</v>
      </c>
      <c r="I18" s="500">
        <v>0</v>
      </c>
      <c r="J18" s="500"/>
      <c r="K18" s="506">
        <f t="shared" si="1"/>
        <v>97286.386538537452</v>
      </c>
      <c r="L18" s="507">
        <f t="shared" si="2"/>
        <v>0</v>
      </c>
      <c r="M18" s="506">
        <f t="shared" si="3"/>
        <v>97286.386538537452</v>
      </c>
      <c r="N18" s="504">
        <f>IF(M18&lt;&gt;0,+H18-M18,0)</f>
        <v>0</v>
      </c>
      <c r="O18" s="504">
        <f>+N18-L18</f>
        <v>0</v>
      </c>
      <c r="P18" s="278"/>
      <c r="R18" s="243"/>
      <c r="S18" s="243"/>
      <c r="T18" s="243"/>
      <c r="U18" s="243"/>
    </row>
    <row r="19" spans="2:21">
      <c r="B19" s="145" t="str">
        <f t="shared" si="0"/>
        <v>IU</v>
      </c>
      <c r="C19" s="495">
        <f>IF(D11="","-",+C18+1)</f>
        <v>2016</v>
      </c>
      <c r="D19" s="614">
        <v>1826581.8843968543</v>
      </c>
      <c r="E19" s="613">
        <v>38745.889906300305</v>
      </c>
      <c r="F19" s="614">
        <v>1787835.9944905541</v>
      </c>
      <c r="G19" s="613">
        <v>231618.29862330039</v>
      </c>
      <c r="H19" s="617">
        <v>231618.29862330039</v>
      </c>
      <c r="I19" s="500">
        <f>H19-G19</f>
        <v>0</v>
      </c>
      <c r="J19" s="500"/>
      <c r="K19" s="506">
        <f t="shared" si="1"/>
        <v>231618.29862330039</v>
      </c>
      <c r="L19" s="507">
        <f t="shared" si="2"/>
        <v>0</v>
      </c>
      <c r="M19" s="506">
        <f t="shared" si="3"/>
        <v>231618.29862330039</v>
      </c>
      <c r="N19" s="504">
        <f t="shared" ref="N19:N73" si="4">IF(M19&lt;&gt;0,+H19-M19,0)</f>
        <v>0</v>
      </c>
      <c r="O19" s="504">
        <f t="shared" ref="O19:O73" si="5">+N19-L19</f>
        <v>0</v>
      </c>
      <c r="P19" s="278"/>
      <c r="R19" s="243"/>
      <c r="S19" s="243"/>
      <c r="T19" s="243"/>
      <c r="U19" s="243"/>
    </row>
    <row r="20" spans="2:21">
      <c r="B20" s="145" t="str">
        <f t="shared" si="0"/>
        <v/>
      </c>
      <c r="C20" s="495">
        <f>IF(D11="","-",+C19+1)</f>
        <v>2017</v>
      </c>
      <c r="D20" s="614">
        <v>1787835.9944905541</v>
      </c>
      <c r="E20" s="613">
        <v>36662.21925080863</v>
      </c>
      <c r="F20" s="614">
        <v>1751173.7752397454</v>
      </c>
      <c r="G20" s="613">
        <v>231201.53737593384</v>
      </c>
      <c r="H20" s="617">
        <v>231201.53737593384</v>
      </c>
      <c r="I20" s="500">
        <f t="shared" ref="I20:I73" si="6">H20-G20</f>
        <v>0</v>
      </c>
      <c r="J20" s="500"/>
      <c r="K20" s="506">
        <f t="shared" si="1"/>
        <v>231201.53737593384</v>
      </c>
      <c r="L20" s="507">
        <f t="shared" si="2"/>
        <v>0</v>
      </c>
      <c r="M20" s="506">
        <f t="shared" si="3"/>
        <v>231201.53737593384</v>
      </c>
      <c r="N20" s="504">
        <f>IF(M20&lt;&gt;0,+H20-M20,0)</f>
        <v>0</v>
      </c>
      <c r="O20" s="504">
        <f>+N20-L20</f>
        <v>0</v>
      </c>
      <c r="P20" s="278"/>
      <c r="R20" s="243"/>
      <c r="S20" s="243"/>
      <c r="T20" s="243"/>
      <c r="U20" s="243"/>
    </row>
    <row r="21" spans="2:21">
      <c r="B21" s="145" t="str">
        <f t="shared" si="0"/>
        <v/>
      </c>
      <c r="C21" s="495">
        <f>IF(D11="","-",+C20+1)</f>
        <v>2018</v>
      </c>
      <c r="D21" s="614">
        <v>1751173.7752397454</v>
      </c>
      <c r="E21" s="613">
        <v>45729.148838219895</v>
      </c>
      <c r="F21" s="614">
        <v>1705444.6264015255</v>
      </c>
      <c r="G21" s="613">
        <v>221366.23750408986</v>
      </c>
      <c r="H21" s="617">
        <v>221366.23750408986</v>
      </c>
      <c r="I21" s="500">
        <v>0</v>
      </c>
      <c r="J21" s="500"/>
      <c r="K21" s="506">
        <f t="shared" si="1"/>
        <v>221366.23750408986</v>
      </c>
      <c r="L21" s="507">
        <f t="shared" si="2"/>
        <v>0</v>
      </c>
      <c r="M21" s="506">
        <f t="shared" si="3"/>
        <v>221366.23750408986</v>
      </c>
      <c r="N21" s="504">
        <f>IF(M21&lt;&gt;0,+H21-M21,0)</f>
        <v>0</v>
      </c>
      <c r="O21" s="504">
        <f>+N21-L21</f>
        <v>0</v>
      </c>
      <c r="P21" s="278"/>
      <c r="R21" s="243"/>
      <c r="S21" s="243"/>
      <c r="T21" s="243"/>
      <c r="U21" s="243"/>
    </row>
    <row r="22" spans="2:21">
      <c r="B22" s="145" t="str">
        <f t="shared" si="0"/>
        <v/>
      </c>
      <c r="C22" s="495">
        <f>IF(D11="","-",+C21+1)</f>
        <v>2019</v>
      </c>
      <c r="D22" s="614">
        <v>1705444.6264015255</v>
      </c>
      <c r="E22" s="613">
        <v>55302.6277388339</v>
      </c>
      <c r="F22" s="614">
        <v>1650141.9986626916</v>
      </c>
      <c r="G22" s="613">
        <v>229685.69393356299</v>
      </c>
      <c r="H22" s="617">
        <v>229685.69393356299</v>
      </c>
      <c r="I22" s="500">
        <f t="shared" si="6"/>
        <v>0</v>
      </c>
      <c r="J22" s="500"/>
      <c r="K22" s="506">
        <f t="shared" si="1"/>
        <v>229685.69393356299</v>
      </c>
      <c r="L22" s="507">
        <f t="shared" si="2"/>
        <v>0</v>
      </c>
      <c r="M22" s="506">
        <f t="shared" si="3"/>
        <v>229685.69393356299</v>
      </c>
      <c r="N22" s="504">
        <f>IF(M22&lt;&gt;0,+H22-M22,0)</f>
        <v>0</v>
      </c>
      <c r="O22" s="504">
        <f>+N22-L22</f>
        <v>0</v>
      </c>
      <c r="P22" s="278"/>
      <c r="R22" s="243"/>
      <c r="S22" s="243"/>
      <c r="T22" s="243"/>
      <c r="U22" s="243"/>
    </row>
    <row r="23" spans="2:21">
      <c r="B23" s="145" t="str">
        <f t="shared" si="0"/>
        <v>IU</v>
      </c>
      <c r="C23" s="495">
        <f>IF(D11="","-",+C22+1)</f>
        <v>2020</v>
      </c>
      <c r="D23" s="614">
        <v>1659715.4775633055</v>
      </c>
      <c r="E23" s="613">
        <v>54599.54020149546</v>
      </c>
      <c r="F23" s="614">
        <v>1605115.9373618101</v>
      </c>
      <c r="G23" s="613">
        <v>225892.94644088054</v>
      </c>
      <c r="H23" s="617">
        <v>225892.94644088054</v>
      </c>
      <c r="I23" s="500">
        <f t="shared" si="6"/>
        <v>0</v>
      </c>
      <c r="J23" s="500"/>
      <c r="K23" s="506">
        <f t="shared" ref="K23" si="7">G23</f>
        <v>225892.94644088054</v>
      </c>
      <c r="L23" s="507">
        <f t="shared" ref="L23" si="8">IF(K23&lt;&gt;0,+G23-K23,0)</f>
        <v>0</v>
      </c>
      <c r="M23" s="506">
        <f t="shared" ref="M23" si="9">H23</f>
        <v>225892.94644088054</v>
      </c>
      <c r="N23" s="504">
        <f>IF(M23&lt;&gt;0,+H23-M23,0)</f>
        <v>0</v>
      </c>
      <c r="O23" s="504">
        <f>+N23-L23</f>
        <v>0</v>
      </c>
      <c r="P23" s="278"/>
      <c r="R23" s="243"/>
      <c r="S23" s="243"/>
      <c r="T23" s="243"/>
      <c r="U23" s="243"/>
    </row>
    <row r="24" spans="2:21">
      <c r="B24" s="145" t="str">
        <f t="shared" si="0"/>
        <v>IU</v>
      </c>
      <c r="C24" s="495">
        <f>IF(D11="","-",+C23+1)</f>
        <v>2021</v>
      </c>
      <c r="D24" s="614">
        <v>1595542.4584611962</v>
      </c>
      <c r="E24" s="613">
        <v>60149.193870967742</v>
      </c>
      <c r="F24" s="614">
        <v>1535393.2645902284</v>
      </c>
      <c r="G24" s="613">
        <v>229509.43964714528</v>
      </c>
      <c r="H24" s="617">
        <v>229509.43964714528</v>
      </c>
      <c r="I24" s="500">
        <f t="shared" si="6"/>
        <v>0</v>
      </c>
      <c r="J24" s="500"/>
      <c r="K24" s="506">
        <f t="shared" ref="K24" si="10">G24</f>
        <v>229509.43964714528</v>
      </c>
      <c r="L24" s="507">
        <f t="shared" ref="L24" si="11">IF(K24&lt;&gt;0,+G24-K24,0)</f>
        <v>0</v>
      </c>
      <c r="M24" s="506">
        <f t="shared" ref="M24" si="12">H24</f>
        <v>229509.43964714528</v>
      </c>
      <c r="N24" s="504">
        <f t="shared" si="4"/>
        <v>0</v>
      </c>
      <c r="O24" s="504">
        <f t="shared" si="5"/>
        <v>0</v>
      </c>
      <c r="P24" s="278"/>
      <c r="R24" s="243"/>
      <c r="S24" s="243"/>
      <c r="T24" s="243"/>
      <c r="U24" s="243"/>
    </row>
    <row r="25" spans="2:21">
      <c r="B25" s="145" t="str">
        <f t="shared" si="0"/>
        <v/>
      </c>
      <c r="C25" s="495">
        <f>IF(D11="","-",+C24+1)</f>
        <v>2022</v>
      </c>
      <c r="D25" s="508">
        <f>IF(F24+SUM(E$17:E24)=D$10,F24,D$10-SUM(E$17:E24))</f>
        <v>1535393.2645902284</v>
      </c>
      <c r="E25" s="509">
        <f t="shared" ref="E25:E73" si="13">IF(+$I$14&lt;F24,$I$14,D25)</f>
        <v>56503.788181818185</v>
      </c>
      <c r="F25" s="510">
        <f t="shared" ref="F25:F73" si="14">+D25-E25</f>
        <v>1478889.4764084104</v>
      </c>
      <c r="G25" s="511">
        <f t="shared" ref="G25:G73" si="15">(D25+F25)/2*I$12+E25</f>
        <v>229461.48395077669</v>
      </c>
      <c r="H25" s="477">
        <f t="shared" ref="H25:H73" si="16">+(D25+F25)/2*I$13+E25</f>
        <v>229461.48395077669</v>
      </c>
      <c r="I25" s="500">
        <f t="shared" si="6"/>
        <v>0</v>
      </c>
      <c r="J25" s="500"/>
      <c r="K25" s="512"/>
      <c r="L25" s="504">
        <f t="shared" ref="L25:L73" si="17">IF(K25&lt;&gt;0,+G25-K25,0)</f>
        <v>0</v>
      </c>
      <c r="M25" s="512"/>
      <c r="N25" s="504">
        <f t="shared" si="4"/>
        <v>0</v>
      </c>
      <c r="O25" s="504">
        <f t="shared" si="5"/>
        <v>0</v>
      </c>
      <c r="P25" s="278"/>
      <c r="R25" s="243"/>
      <c r="S25" s="243"/>
      <c r="T25" s="243"/>
      <c r="U25" s="243"/>
    </row>
    <row r="26" spans="2:21">
      <c r="B26" s="145" t="str">
        <f t="shared" si="0"/>
        <v/>
      </c>
      <c r="C26" s="495">
        <f>IF(D11="","-",+C25+1)</f>
        <v>2023</v>
      </c>
      <c r="D26" s="508">
        <f>IF(F25+SUM(E$17:E25)=D$10,F25,D$10-SUM(E$17:E25))</f>
        <v>1478889.4764084104</v>
      </c>
      <c r="E26" s="509">
        <f t="shared" si="13"/>
        <v>56503.788181818185</v>
      </c>
      <c r="F26" s="510">
        <f t="shared" si="14"/>
        <v>1422385.6882265923</v>
      </c>
      <c r="G26" s="511">
        <f t="shared" si="15"/>
        <v>222977.17849845748</v>
      </c>
      <c r="H26" s="477">
        <f t="shared" si="16"/>
        <v>222977.17849845748</v>
      </c>
      <c r="I26" s="500">
        <f t="shared" si="6"/>
        <v>0</v>
      </c>
      <c r="J26" s="500"/>
      <c r="K26" s="512"/>
      <c r="L26" s="504">
        <f t="shared" si="17"/>
        <v>0</v>
      </c>
      <c r="M26" s="512"/>
      <c r="N26" s="504">
        <f t="shared" si="4"/>
        <v>0</v>
      </c>
      <c r="O26" s="504">
        <f t="shared" si="5"/>
        <v>0</v>
      </c>
      <c r="P26" s="278"/>
      <c r="R26" s="243"/>
      <c r="S26" s="243"/>
      <c r="T26" s="243"/>
      <c r="U26" s="243"/>
    </row>
    <row r="27" spans="2:21">
      <c r="B27" s="145" t="str">
        <f t="shared" si="0"/>
        <v/>
      </c>
      <c r="C27" s="495">
        <f>IF(D11="","-",+C26+1)</f>
        <v>2024</v>
      </c>
      <c r="D27" s="508">
        <f>IF(F26+SUM(E$17:E26)=D$10,F26,D$10-SUM(E$17:E26))</f>
        <v>1422385.6882265923</v>
      </c>
      <c r="E27" s="509">
        <f t="shared" si="13"/>
        <v>56503.788181818185</v>
      </c>
      <c r="F27" s="510">
        <f t="shared" si="14"/>
        <v>1365881.9000447742</v>
      </c>
      <c r="G27" s="511">
        <f t="shared" si="15"/>
        <v>216492.87304613829</v>
      </c>
      <c r="H27" s="477">
        <f t="shared" si="16"/>
        <v>216492.87304613829</v>
      </c>
      <c r="I27" s="500">
        <f t="shared" si="6"/>
        <v>0</v>
      </c>
      <c r="J27" s="500"/>
      <c r="K27" s="512"/>
      <c r="L27" s="504">
        <f t="shared" si="17"/>
        <v>0</v>
      </c>
      <c r="M27" s="512"/>
      <c r="N27" s="504">
        <f t="shared" si="4"/>
        <v>0</v>
      </c>
      <c r="O27" s="504">
        <f t="shared" si="5"/>
        <v>0</v>
      </c>
      <c r="P27" s="278"/>
      <c r="R27" s="243"/>
      <c r="S27" s="243"/>
      <c r="T27" s="243"/>
      <c r="U27" s="243"/>
    </row>
    <row r="28" spans="2:21">
      <c r="B28" s="145" t="str">
        <f t="shared" si="0"/>
        <v/>
      </c>
      <c r="C28" s="495">
        <f>IF(D11="","-",+C27+1)</f>
        <v>2025</v>
      </c>
      <c r="D28" s="508">
        <f>IF(F27+SUM(E$17:E27)=D$10,F27,D$10-SUM(E$17:E27))</f>
        <v>1365881.9000447742</v>
      </c>
      <c r="E28" s="509">
        <f t="shared" si="13"/>
        <v>56503.788181818185</v>
      </c>
      <c r="F28" s="510">
        <f t="shared" si="14"/>
        <v>1309378.1118629561</v>
      </c>
      <c r="G28" s="511">
        <f t="shared" si="15"/>
        <v>210008.56759381908</v>
      </c>
      <c r="H28" s="477">
        <f t="shared" si="16"/>
        <v>210008.56759381908</v>
      </c>
      <c r="I28" s="500">
        <f t="shared" si="6"/>
        <v>0</v>
      </c>
      <c r="J28" s="500"/>
      <c r="K28" s="512"/>
      <c r="L28" s="504">
        <f t="shared" si="17"/>
        <v>0</v>
      </c>
      <c r="M28" s="512"/>
      <c r="N28" s="504">
        <f t="shared" si="4"/>
        <v>0</v>
      </c>
      <c r="O28" s="504">
        <f t="shared" si="5"/>
        <v>0</v>
      </c>
      <c r="P28" s="278"/>
      <c r="R28" s="243"/>
      <c r="S28" s="243"/>
      <c r="T28" s="243"/>
      <c r="U28" s="243"/>
    </row>
    <row r="29" spans="2:21">
      <c r="B29" s="145" t="str">
        <f t="shared" si="0"/>
        <v/>
      </c>
      <c r="C29" s="495">
        <f>IF(D11="","-",+C28+1)</f>
        <v>2026</v>
      </c>
      <c r="D29" s="508">
        <f>IF(F28+SUM(E$17:E28)=D$10,F28,D$10-SUM(E$17:E28))</f>
        <v>1309378.1118629561</v>
      </c>
      <c r="E29" s="509">
        <f t="shared" si="13"/>
        <v>56503.788181818185</v>
      </c>
      <c r="F29" s="510">
        <f t="shared" si="14"/>
        <v>1252874.323681138</v>
      </c>
      <c r="G29" s="511">
        <f t="shared" si="15"/>
        <v>203524.26214149987</v>
      </c>
      <c r="H29" s="477">
        <f t="shared" si="16"/>
        <v>203524.26214149987</v>
      </c>
      <c r="I29" s="500">
        <f t="shared" si="6"/>
        <v>0</v>
      </c>
      <c r="J29" s="500"/>
      <c r="K29" s="512"/>
      <c r="L29" s="504">
        <f t="shared" si="17"/>
        <v>0</v>
      </c>
      <c r="M29" s="512"/>
      <c r="N29" s="504">
        <f t="shared" si="4"/>
        <v>0</v>
      </c>
      <c r="O29" s="504">
        <f t="shared" si="5"/>
        <v>0</v>
      </c>
      <c r="P29" s="278"/>
      <c r="R29" s="243"/>
      <c r="S29" s="243"/>
      <c r="T29" s="243"/>
      <c r="U29" s="243"/>
    </row>
    <row r="30" spans="2:21">
      <c r="B30" s="145" t="str">
        <f t="shared" si="0"/>
        <v/>
      </c>
      <c r="C30" s="495">
        <f>IF(D11="","-",+C29+1)</f>
        <v>2027</v>
      </c>
      <c r="D30" s="508">
        <f>IF(F29+SUM(E$17:E29)=D$10,F29,D$10-SUM(E$17:E29))</f>
        <v>1252874.323681138</v>
      </c>
      <c r="E30" s="509">
        <f t="shared" si="13"/>
        <v>56503.788181818185</v>
      </c>
      <c r="F30" s="510">
        <f t="shared" si="14"/>
        <v>1196370.5354993199</v>
      </c>
      <c r="G30" s="511">
        <f t="shared" si="15"/>
        <v>197039.95668918069</v>
      </c>
      <c r="H30" s="477">
        <f t="shared" si="16"/>
        <v>197039.95668918069</v>
      </c>
      <c r="I30" s="500">
        <f t="shared" si="6"/>
        <v>0</v>
      </c>
      <c r="J30" s="500"/>
      <c r="K30" s="512"/>
      <c r="L30" s="504">
        <f t="shared" si="17"/>
        <v>0</v>
      </c>
      <c r="M30" s="512"/>
      <c r="N30" s="504">
        <f t="shared" si="4"/>
        <v>0</v>
      </c>
      <c r="O30" s="504">
        <f t="shared" si="5"/>
        <v>0</v>
      </c>
      <c r="P30" s="278"/>
      <c r="R30" s="243"/>
      <c r="S30" s="243"/>
      <c r="T30" s="243"/>
      <c r="U30" s="243"/>
    </row>
    <row r="31" spans="2:21">
      <c r="B31" s="145" t="str">
        <f t="shared" si="0"/>
        <v/>
      </c>
      <c r="C31" s="495">
        <f>IF(D11="","-",+C30+1)</f>
        <v>2028</v>
      </c>
      <c r="D31" s="508">
        <f>IF(F30+SUM(E$17:E30)=D$10,F30,D$10-SUM(E$17:E30))</f>
        <v>1196370.5354993199</v>
      </c>
      <c r="E31" s="509">
        <f t="shared" si="13"/>
        <v>56503.788181818185</v>
      </c>
      <c r="F31" s="510">
        <f t="shared" si="14"/>
        <v>1139866.7473175018</v>
      </c>
      <c r="G31" s="511">
        <f t="shared" si="15"/>
        <v>190555.65123686148</v>
      </c>
      <c r="H31" s="477">
        <f t="shared" si="16"/>
        <v>190555.65123686148</v>
      </c>
      <c r="I31" s="500">
        <f t="shared" si="6"/>
        <v>0</v>
      </c>
      <c r="J31" s="500"/>
      <c r="K31" s="512"/>
      <c r="L31" s="504">
        <f t="shared" si="17"/>
        <v>0</v>
      </c>
      <c r="M31" s="512"/>
      <c r="N31" s="504">
        <f t="shared" si="4"/>
        <v>0</v>
      </c>
      <c r="O31" s="504">
        <f t="shared" si="5"/>
        <v>0</v>
      </c>
      <c r="P31" s="278"/>
      <c r="Q31" s="220"/>
      <c r="R31" s="278"/>
      <c r="S31" s="278"/>
      <c r="T31" s="278"/>
      <c r="U31" s="243"/>
    </row>
    <row r="32" spans="2:21">
      <c r="B32" s="145" t="str">
        <f t="shared" si="0"/>
        <v/>
      </c>
      <c r="C32" s="495">
        <f>IF(D12="","-",+C31+1)</f>
        <v>2029</v>
      </c>
      <c r="D32" s="508">
        <f>IF(F31+SUM(E$17:E31)=D$10,F31,D$10-SUM(E$17:E31))</f>
        <v>1139866.7473175018</v>
      </c>
      <c r="E32" s="509">
        <f>IF(+$I$14&lt;F31,$I$14,D32)</f>
        <v>56503.788181818185</v>
      </c>
      <c r="F32" s="510">
        <f>+D32-E32</f>
        <v>1083362.9591356837</v>
      </c>
      <c r="G32" s="511">
        <f t="shared" si="15"/>
        <v>184071.3457845423</v>
      </c>
      <c r="H32" s="477">
        <f t="shared" si="16"/>
        <v>184071.3457845423</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2030</v>
      </c>
      <c r="D33" s="508">
        <f>IF(F32+SUM(E$17:E32)=D$10,F32,D$10-SUM(E$17:E32))</f>
        <v>1083362.9591356837</v>
      </c>
      <c r="E33" s="509">
        <f>IF(+$I$14&lt;F32,$I$14,D33)</f>
        <v>56503.788181818185</v>
      </c>
      <c r="F33" s="510">
        <f>+D33-E33</f>
        <v>1026859.1709538655</v>
      </c>
      <c r="G33" s="511">
        <f t="shared" si="15"/>
        <v>177587.04033222308</v>
      </c>
      <c r="H33" s="477">
        <f t="shared" si="16"/>
        <v>177587.04033222308</v>
      </c>
      <c r="I33" s="500">
        <f>H33-G33</f>
        <v>0</v>
      </c>
      <c r="J33" s="500"/>
      <c r="K33" s="512"/>
      <c r="L33" s="504">
        <f>IF(K33&lt;&gt;0,+G33-K33,0)</f>
        <v>0</v>
      </c>
      <c r="M33" s="512"/>
      <c r="N33" s="504">
        <f>IF(M33&lt;&gt;0,+H33-M33,0)</f>
        <v>0</v>
      </c>
      <c r="O33" s="504">
        <f>+N33-L33</f>
        <v>0</v>
      </c>
      <c r="P33" s="278"/>
      <c r="R33" s="243"/>
      <c r="S33" s="243"/>
      <c r="T33" s="243"/>
      <c r="U33" s="243"/>
    </row>
    <row r="34" spans="2:21">
      <c r="B34" s="145" t="str">
        <f t="shared" si="0"/>
        <v/>
      </c>
      <c r="C34" s="513">
        <f>IF(D11="","-",+C33+1)</f>
        <v>2031</v>
      </c>
      <c r="D34" s="514">
        <f>IF(F33+SUM(E$17:E33)=D$10,F33,D$10-SUM(E$17:E33))</f>
        <v>1026859.1709538655</v>
      </c>
      <c r="E34" s="515">
        <f t="shared" si="13"/>
        <v>56503.788181818185</v>
      </c>
      <c r="F34" s="516">
        <f t="shared" si="14"/>
        <v>970355.38277204731</v>
      </c>
      <c r="G34" s="517">
        <f t="shared" si="15"/>
        <v>171102.73487990387</v>
      </c>
      <c r="H34" s="518">
        <f t="shared" si="16"/>
        <v>171102.73487990387</v>
      </c>
      <c r="I34" s="519">
        <f t="shared" si="6"/>
        <v>0</v>
      </c>
      <c r="J34" s="519"/>
      <c r="K34" s="520"/>
      <c r="L34" s="521">
        <f t="shared" si="17"/>
        <v>0</v>
      </c>
      <c r="M34" s="520"/>
      <c r="N34" s="521">
        <f t="shared" si="4"/>
        <v>0</v>
      </c>
      <c r="O34" s="521">
        <f t="shared" si="5"/>
        <v>0</v>
      </c>
      <c r="P34" s="522"/>
      <c r="Q34" s="216"/>
      <c r="R34" s="522"/>
      <c r="S34" s="522"/>
      <c r="T34" s="522"/>
      <c r="U34" s="243"/>
    </row>
    <row r="35" spans="2:21">
      <c r="B35" s="145" t="str">
        <f t="shared" si="0"/>
        <v/>
      </c>
      <c r="C35" s="495">
        <f>IF(D11="","-",+C34+1)</f>
        <v>2032</v>
      </c>
      <c r="D35" s="508">
        <f>IF(F34+SUM(E$17:E34)=D$10,F34,D$10-SUM(E$17:E34))</f>
        <v>970355.38277204731</v>
      </c>
      <c r="E35" s="509">
        <f t="shared" si="13"/>
        <v>56503.788181818185</v>
      </c>
      <c r="F35" s="510">
        <f t="shared" si="14"/>
        <v>913851.5945902291</v>
      </c>
      <c r="G35" s="511">
        <f t="shared" si="15"/>
        <v>164618.42942758466</v>
      </c>
      <c r="H35" s="477">
        <f t="shared" si="16"/>
        <v>164618.42942758466</v>
      </c>
      <c r="I35" s="500">
        <f t="shared" si="6"/>
        <v>0</v>
      </c>
      <c r="J35" s="500"/>
      <c r="K35" s="512"/>
      <c r="L35" s="504">
        <f t="shared" si="17"/>
        <v>0</v>
      </c>
      <c r="M35" s="512"/>
      <c r="N35" s="504">
        <f t="shared" si="4"/>
        <v>0</v>
      </c>
      <c r="O35" s="504">
        <f t="shared" si="5"/>
        <v>0</v>
      </c>
      <c r="P35" s="278"/>
      <c r="R35" s="243"/>
      <c r="S35" s="243"/>
      <c r="T35" s="243"/>
      <c r="U35" s="243"/>
    </row>
    <row r="36" spans="2:21">
      <c r="B36" s="145" t="str">
        <f t="shared" si="0"/>
        <v/>
      </c>
      <c r="C36" s="495">
        <f>IF(D11="","-",+C35+1)</f>
        <v>2033</v>
      </c>
      <c r="D36" s="508">
        <f>IF(F35+SUM(E$17:E35)=D$10,F35,D$10-SUM(E$17:E35))</f>
        <v>913851.5945902291</v>
      </c>
      <c r="E36" s="509">
        <f t="shared" si="13"/>
        <v>56503.788181818185</v>
      </c>
      <c r="F36" s="510">
        <f t="shared" si="14"/>
        <v>857347.80640841089</v>
      </c>
      <c r="G36" s="511">
        <f t="shared" si="15"/>
        <v>158134.12397526545</v>
      </c>
      <c r="H36" s="477">
        <f t="shared" si="16"/>
        <v>158134.12397526545</v>
      </c>
      <c r="I36" s="500">
        <f t="shared" si="6"/>
        <v>0</v>
      </c>
      <c r="J36" s="500"/>
      <c r="K36" s="512"/>
      <c r="L36" s="504">
        <f t="shared" si="17"/>
        <v>0</v>
      </c>
      <c r="M36" s="512"/>
      <c r="N36" s="504">
        <f t="shared" si="4"/>
        <v>0</v>
      </c>
      <c r="O36" s="504">
        <f t="shared" si="5"/>
        <v>0</v>
      </c>
      <c r="P36" s="278"/>
      <c r="R36" s="243"/>
      <c r="S36" s="243"/>
      <c r="T36" s="243"/>
      <c r="U36" s="243"/>
    </row>
    <row r="37" spans="2:21">
      <c r="B37" s="145" t="str">
        <f t="shared" si="0"/>
        <v/>
      </c>
      <c r="C37" s="495">
        <f>IF(D11="","-",+C36+1)</f>
        <v>2034</v>
      </c>
      <c r="D37" s="508">
        <f>IF(F36+SUM(E$17:E36)=D$10,F36,D$10-SUM(E$17:E36))</f>
        <v>857347.80640841089</v>
      </c>
      <c r="E37" s="509">
        <f t="shared" si="13"/>
        <v>56503.788181818185</v>
      </c>
      <c r="F37" s="510">
        <f t="shared" si="14"/>
        <v>800844.01822659269</v>
      </c>
      <c r="G37" s="511">
        <f t="shared" si="15"/>
        <v>151649.81852294624</v>
      </c>
      <c r="H37" s="477">
        <f t="shared" si="16"/>
        <v>151649.81852294624</v>
      </c>
      <c r="I37" s="500">
        <f t="shared" si="6"/>
        <v>0</v>
      </c>
      <c r="J37" s="500"/>
      <c r="K37" s="512"/>
      <c r="L37" s="504">
        <f t="shared" si="17"/>
        <v>0</v>
      </c>
      <c r="M37" s="512"/>
      <c r="N37" s="504">
        <f t="shared" si="4"/>
        <v>0</v>
      </c>
      <c r="O37" s="504">
        <f t="shared" si="5"/>
        <v>0</v>
      </c>
      <c r="P37" s="278"/>
      <c r="R37" s="243"/>
      <c r="S37" s="243"/>
      <c r="T37" s="243"/>
      <c r="U37" s="243"/>
    </row>
    <row r="38" spans="2:21">
      <c r="B38" s="145" t="str">
        <f t="shared" si="0"/>
        <v/>
      </c>
      <c r="C38" s="495">
        <f>IF(D11="","-",+C37+1)</f>
        <v>2035</v>
      </c>
      <c r="D38" s="508">
        <f>IF(F37+SUM(E$17:E37)=D$10,F37,D$10-SUM(E$17:E37))</f>
        <v>800844.01822659269</v>
      </c>
      <c r="E38" s="509">
        <f t="shared" si="13"/>
        <v>56503.788181818185</v>
      </c>
      <c r="F38" s="510">
        <f t="shared" si="14"/>
        <v>744340.23004477448</v>
      </c>
      <c r="G38" s="511">
        <f t="shared" si="15"/>
        <v>145165.51307062703</v>
      </c>
      <c r="H38" s="477">
        <f t="shared" si="16"/>
        <v>145165.51307062703</v>
      </c>
      <c r="I38" s="500">
        <f t="shared" si="6"/>
        <v>0</v>
      </c>
      <c r="J38" s="500"/>
      <c r="K38" s="512"/>
      <c r="L38" s="504">
        <f t="shared" si="17"/>
        <v>0</v>
      </c>
      <c r="M38" s="512"/>
      <c r="N38" s="504">
        <f t="shared" si="4"/>
        <v>0</v>
      </c>
      <c r="O38" s="504">
        <f t="shared" si="5"/>
        <v>0</v>
      </c>
      <c r="P38" s="278"/>
      <c r="R38" s="243"/>
      <c r="S38" s="243"/>
      <c r="T38" s="243"/>
      <c r="U38" s="243"/>
    </row>
    <row r="39" spans="2:21">
      <c r="B39" s="145" t="str">
        <f t="shared" si="0"/>
        <v/>
      </c>
      <c r="C39" s="495">
        <f>IF(D11="","-",+C38+1)</f>
        <v>2036</v>
      </c>
      <c r="D39" s="508">
        <f>IF(F38+SUM(E$17:E38)=D$10,F38,D$10-SUM(E$17:E38))</f>
        <v>744340.23004477448</v>
      </c>
      <c r="E39" s="509">
        <f t="shared" si="13"/>
        <v>56503.788181818185</v>
      </c>
      <c r="F39" s="510">
        <f t="shared" si="14"/>
        <v>687836.44186295627</v>
      </c>
      <c r="G39" s="511">
        <f t="shared" si="15"/>
        <v>138681.20761830782</v>
      </c>
      <c r="H39" s="477">
        <f t="shared" si="16"/>
        <v>138681.20761830782</v>
      </c>
      <c r="I39" s="500">
        <f t="shared" si="6"/>
        <v>0</v>
      </c>
      <c r="J39" s="500"/>
      <c r="K39" s="512"/>
      <c r="L39" s="504">
        <f t="shared" si="17"/>
        <v>0</v>
      </c>
      <c r="M39" s="512"/>
      <c r="N39" s="504">
        <f t="shared" si="4"/>
        <v>0</v>
      </c>
      <c r="O39" s="504">
        <f t="shared" si="5"/>
        <v>0</v>
      </c>
      <c r="P39" s="278"/>
      <c r="R39" s="243"/>
      <c r="S39" s="243"/>
      <c r="T39" s="243"/>
      <c r="U39" s="243"/>
    </row>
    <row r="40" spans="2:21">
      <c r="B40" s="145" t="str">
        <f t="shared" si="0"/>
        <v/>
      </c>
      <c r="C40" s="495">
        <f>IF(D11="","-",+C39+1)</f>
        <v>2037</v>
      </c>
      <c r="D40" s="508">
        <f>IF(F39+SUM(E$17:E39)=D$10,F39,D$10-SUM(E$17:E39))</f>
        <v>687836.44186295627</v>
      </c>
      <c r="E40" s="509">
        <f t="shared" si="13"/>
        <v>56503.788181818185</v>
      </c>
      <c r="F40" s="510">
        <f t="shared" si="14"/>
        <v>631332.65368113806</v>
      </c>
      <c r="G40" s="511">
        <f t="shared" si="15"/>
        <v>132196.90216598861</v>
      </c>
      <c r="H40" s="477">
        <f t="shared" si="16"/>
        <v>132196.90216598861</v>
      </c>
      <c r="I40" s="500">
        <f t="shared" si="6"/>
        <v>0</v>
      </c>
      <c r="J40" s="500"/>
      <c r="K40" s="512"/>
      <c r="L40" s="504">
        <f t="shared" si="17"/>
        <v>0</v>
      </c>
      <c r="M40" s="512"/>
      <c r="N40" s="504">
        <f t="shared" si="4"/>
        <v>0</v>
      </c>
      <c r="O40" s="504">
        <f t="shared" si="5"/>
        <v>0</v>
      </c>
      <c r="P40" s="278"/>
      <c r="R40" s="243"/>
      <c r="S40" s="243"/>
      <c r="T40" s="243"/>
      <c r="U40" s="243"/>
    </row>
    <row r="41" spans="2:21">
      <c r="B41" s="145" t="str">
        <f t="shared" si="0"/>
        <v/>
      </c>
      <c r="C41" s="495">
        <f>IF(D12="","-",+C40+1)</f>
        <v>2038</v>
      </c>
      <c r="D41" s="508">
        <f>IF(F40+SUM(E$17:E40)=D$10,F40,D$10-SUM(E$17:E40))</f>
        <v>631332.65368113806</v>
      </c>
      <c r="E41" s="509">
        <f t="shared" si="13"/>
        <v>56503.788181818185</v>
      </c>
      <c r="F41" s="510">
        <f t="shared" si="14"/>
        <v>574828.86549931986</v>
      </c>
      <c r="G41" s="511">
        <f t="shared" si="15"/>
        <v>125712.59671366939</v>
      </c>
      <c r="H41" s="477">
        <f t="shared" si="16"/>
        <v>125712.59671366939</v>
      </c>
      <c r="I41" s="500">
        <f t="shared" si="6"/>
        <v>0</v>
      </c>
      <c r="J41" s="500"/>
      <c r="K41" s="512"/>
      <c r="L41" s="504">
        <f t="shared" si="17"/>
        <v>0</v>
      </c>
      <c r="M41" s="512"/>
      <c r="N41" s="504">
        <f t="shared" si="4"/>
        <v>0</v>
      </c>
      <c r="O41" s="504">
        <f t="shared" si="5"/>
        <v>0</v>
      </c>
      <c r="P41" s="278"/>
      <c r="R41" s="243"/>
      <c r="S41" s="243"/>
      <c r="T41" s="243"/>
      <c r="U41" s="243"/>
    </row>
    <row r="42" spans="2:21">
      <c r="B42" s="145" t="str">
        <f t="shared" si="0"/>
        <v/>
      </c>
      <c r="C42" s="495">
        <f>IF(D13="","-",+C41+1)</f>
        <v>2039</v>
      </c>
      <c r="D42" s="508">
        <f>IF(F41+SUM(E$17:E41)=D$10,F41,D$10-SUM(E$17:E41))</f>
        <v>574828.86549931986</v>
      </c>
      <c r="E42" s="509">
        <f t="shared" si="13"/>
        <v>56503.788181818185</v>
      </c>
      <c r="F42" s="510">
        <f t="shared" si="14"/>
        <v>518325.07731750165</v>
      </c>
      <c r="G42" s="511">
        <f t="shared" si="15"/>
        <v>119228.29126135018</v>
      </c>
      <c r="H42" s="477">
        <f t="shared" si="16"/>
        <v>119228.29126135018</v>
      </c>
      <c r="I42" s="500">
        <f t="shared" si="6"/>
        <v>0</v>
      </c>
      <c r="J42" s="500"/>
      <c r="K42" s="512"/>
      <c r="L42" s="504">
        <f t="shared" si="17"/>
        <v>0</v>
      </c>
      <c r="M42" s="512"/>
      <c r="N42" s="504">
        <f t="shared" si="4"/>
        <v>0</v>
      </c>
      <c r="O42" s="504">
        <f t="shared" si="5"/>
        <v>0</v>
      </c>
      <c r="P42" s="278"/>
      <c r="R42" s="243"/>
      <c r="S42" s="243"/>
      <c r="T42" s="243"/>
      <c r="U42" s="243"/>
    </row>
    <row r="43" spans="2:21">
      <c r="B43" s="145" t="str">
        <f t="shared" si="0"/>
        <v/>
      </c>
      <c r="C43" s="495">
        <f>IF(D14="","-",+C42+1)</f>
        <v>2040</v>
      </c>
      <c r="D43" s="508">
        <f>IF(F42+SUM(E$17:E42)=D$10,F42,D$10-SUM(E$17:E42))</f>
        <v>518325.07731750165</v>
      </c>
      <c r="E43" s="509">
        <f t="shared" si="13"/>
        <v>56503.788181818185</v>
      </c>
      <c r="F43" s="510">
        <f t="shared" si="14"/>
        <v>461821.28913568344</v>
      </c>
      <c r="G43" s="511">
        <f t="shared" si="15"/>
        <v>112743.98580903097</v>
      </c>
      <c r="H43" s="477">
        <f t="shared" si="16"/>
        <v>112743.98580903097</v>
      </c>
      <c r="I43" s="500">
        <f t="shared" si="6"/>
        <v>0</v>
      </c>
      <c r="J43" s="500"/>
      <c r="K43" s="512"/>
      <c r="L43" s="504">
        <f t="shared" si="17"/>
        <v>0</v>
      </c>
      <c r="M43" s="512"/>
      <c r="N43" s="504">
        <f t="shared" si="4"/>
        <v>0</v>
      </c>
      <c r="O43" s="504">
        <f t="shared" si="5"/>
        <v>0</v>
      </c>
      <c r="P43" s="278"/>
      <c r="R43" s="243"/>
      <c r="S43" s="243"/>
      <c r="T43" s="243"/>
      <c r="U43" s="243"/>
    </row>
    <row r="44" spans="2:21">
      <c r="B44" s="145" t="str">
        <f t="shared" si="0"/>
        <v/>
      </c>
      <c r="C44" s="495">
        <f>IF(D15="","-",+C43+1)</f>
        <v>2041</v>
      </c>
      <c r="D44" s="508">
        <f>IF(F43+SUM(E$17:E43)=D$10,F43,D$10-SUM(E$17:E43))</f>
        <v>461821.28913568344</v>
      </c>
      <c r="E44" s="509">
        <f t="shared" si="13"/>
        <v>56503.788181818185</v>
      </c>
      <c r="F44" s="510">
        <f t="shared" si="14"/>
        <v>405317.50095386524</v>
      </c>
      <c r="G44" s="511">
        <f t="shared" si="15"/>
        <v>106259.68035671176</v>
      </c>
      <c r="H44" s="477">
        <f t="shared" si="16"/>
        <v>106259.68035671176</v>
      </c>
      <c r="I44" s="500">
        <f t="shared" si="6"/>
        <v>0</v>
      </c>
      <c r="J44" s="500"/>
      <c r="K44" s="512"/>
      <c r="L44" s="504">
        <f t="shared" si="17"/>
        <v>0</v>
      </c>
      <c r="M44" s="512"/>
      <c r="N44" s="504">
        <f t="shared" si="4"/>
        <v>0</v>
      </c>
      <c r="O44" s="504">
        <f t="shared" si="5"/>
        <v>0</v>
      </c>
      <c r="P44" s="278"/>
      <c r="R44" s="243"/>
      <c r="S44" s="243"/>
      <c r="T44" s="243"/>
      <c r="U44" s="243"/>
    </row>
    <row r="45" spans="2:21">
      <c r="B45" s="145" t="str">
        <f t="shared" si="0"/>
        <v/>
      </c>
      <c r="C45" s="495">
        <f>IF(D11="","-",+C44+1)</f>
        <v>2042</v>
      </c>
      <c r="D45" s="508">
        <f>IF(F44+SUM(E$17:E44)=D$10,F44,D$10-SUM(E$17:E44))</f>
        <v>405317.50095386524</v>
      </c>
      <c r="E45" s="509">
        <f t="shared" si="13"/>
        <v>56503.788181818185</v>
      </c>
      <c r="F45" s="510">
        <f t="shared" si="14"/>
        <v>348813.71277204703</v>
      </c>
      <c r="G45" s="511">
        <f t="shared" si="15"/>
        <v>99775.374904392549</v>
      </c>
      <c r="H45" s="477">
        <f t="shared" si="16"/>
        <v>99775.374904392549</v>
      </c>
      <c r="I45" s="500">
        <f t="shared" si="6"/>
        <v>0</v>
      </c>
      <c r="J45" s="500"/>
      <c r="K45" s="512"/>
      <c r="L45" s="504">
        <f t="shared" si="17"/>
        <v>0</v>
      </c>
      <c r="M45" s="512"/>
      <c r="N45" s="504">
        <f t="shared" si="4"/>
        <v>0</v>
      </c>
      <c r="O45" s="504">
        <f t="shared" si="5"/>
        <v>0</v>
      </c>
      <c r="P45" s="278"/>
      <c r="R45" s="243"/>
      <c r="S45" s="243"/>
      <c r="T45" s="243"/>
      <c r="U45" s="243"/>
    </row>
    <row r="46" spans="2:21">
      <c r="B46" s="145" t="str">
        <f t="shared" si="0"/>
        <v/>
      </c>
      <c r="C46" s="495">
        <f>IF(D11="","-",+C45+1)</f>
        <v>2043</v>
      </c>
      <c r="D46" s="508">
        <f>IF(F45+SUM(E$17:E45)=D$10,F45,D$10-SUM(E$17:E45))</f>
        <v>348813.71277204703</v>
      </c>
      <c r="E46" s="509">
        <f t="shared" si="13"/>
        <v>56503.788181818185</v>
      </c>
      <c r="F46" s="510">
        <f t="shared" si="14"/>
        <v>292309.92459022882</v>
      </c>
      <c r="G46" s="511">
        <f t="shared" si="15"/>
        <v>93291.069452073338</v>
      </c>
      <c r="H46" s="477">
        <f t="shared" si="16"/>
        <v>93291.069452073338</v>
      </c>
      <c r="I46" s="500">
        <f t="shared" si="6"/>
        <v>0</v>
      </c>
      <c r="J46" s="500"/>
      <c r="K46" s="512"/>
      <c r="L46" s="504">
        <f t="shared" si="17"/>
        <v>0</v>
      </c>
      <c r="M46" s="512"/>
      <c r="N46" s="504">
        <f t="shared" si="4"/>
        <v>0</v>
      </c>
      <c r="O46" s="504">
        <f t="shared" si="5"/>
        <v>0</v>
      </c>
      <c r="P46" s="278"/>
      <c r="R46" s="243"/>
      <c r="S46" s="243"/>
      <c r="T46" s="243"/>
      <c r="U46" s="243"/>
    </row>
    <row r="47" spans="2:21">
      <c r="B47" s="145" t="str">
        <f t="shared" si="0"/>
        <v/>
      </c>
      <c r="C47" s="495">
        <f>IF(D11="","-",+C46+1)</f>
        <v>2044</v>
      </c>
      <c r="D47" s="508">
        <f>IF(F46+SUM(E$17:E46)=D$10,F46,D$10-SUM(E$17:E46))</f>
        <v>292309.92459022882</v>
      </c>
      <c r="E47" s="509">
        <f t="shared" si="13"/>
        <v>56503.788181818185</v>
      </c>
      <c r="F47" s="510">
        <f t="shared" si="14"/>
        <v>235806.13640841065</v>
      </c>
      <c r="G47" s="511">
        <f t="shared" si="15"/>
        <v>86806.763999754126</v>
      </c>
      <c r="H47" s="477">
        <f t="shared" si="16"/>
        <v>86806.763999754126</v>
      </c>
      <c r="I47" s="500">
        <f t="shared" si="6"/>
        <v>0</v>
      </c>
      <c r="J47" s="500"/>
      <c r="K47" s="512"/>
      <c r="L47" s="504">
        <f t="shared" si="17"/>
        <v>0</v>
      </c>
      <c r="M47" s="512"/>
      <c r="N47" s="504">
        <f t="shared" si="4"/>
        <v>0</v>
      </c>
      <c r="O47" s="504">
        <f t="shared" si="5"/>
        <v>0</v>
      </c>
      <c r="P47" s="278"/>
      <c r="R47" s="243"/>
      <c r="S47" s="243"/>
      <c r="T47" s="243"/>
      <c r="U47" s="243"/>
    </row>
    <row r="48" spans="2:21">
      <c r="B48" s="145" t="str">
        <f t="shared" si="0"/>
        <v/>
      </c>
      <c r="C48" s="495">
        <f>IF(D11="","-",+C47+1)</f>
        <v>2045</v>
      </c>
      <c r="D48" s="508">
        <f>IF(F47+SUM(E$17:E47)=D$10,F47,D$10-SUM(E$17:E47))</f>
        <v>235806.13640841065</v>
      </c>
      <c r="E48" s="509">
        <f t="shared" si="13"/>
        <v>56503.788181818185</v>
      </c>
      <c r="F48" s="510">
        <f t="shared" si="14"/>
        <v>179302.34822659247</v>
      </c>
      <c r="G48" s="511">
        <f t="shared" si="15"/>
        <v>80322.458547434915</v>
      </c>
      <c r="H48" s="477">
        <f t="shared" si="16"/>
        <v>80322.458547434915</v>
      </c>
      <c r="I48" s="500">
        <f t="shared" si="6"/>
        <v>0</v>
      </c>
      <c r="J48" s="500"/>
      <c r="K48" s="512"/>
      <c r="L48" s="504">
        <f t="shared" si="17"/>
        <v>0</v>
      </c>
      <c r="M48" s="512"/>
      <c r="N48" s="504">
        <f t="shared" si="4"/>
        <v>0</v>
      </c>
      <c r="O48" s="504">
        <f t="shared" si="5"/>
        <v>0</v>
      </c>
      <c r="P48" s="278"/>
      <c r="R48" s="243"/>
      <c r="S48" s="243"/>
      <c r="T48" s="243"/>
      <c r="U48" s="243"/>
    </row>
    <row r="49" spans="2:21">
      <c r="B49" s="145" t="str">
        <f t="shared" si="0"/>
        <v/>
      </c>
      <c r="C49" s="495">
        <f>IF(D11="","-",+C48+1)</f>
        <v>2046</v>
      </c>
      <c r="D49" s="508">
        <f>IF(F48+SUM(E$17:E48)=D$10,F48,D$10-SUM(E$17:E48))</f>
        <v>179302.34822659247</v>
      </c>
      <c r="E49" s="509">
        <f t="shared" si="13"/>
        <v>56503.788181818185</v>
      </c>
      <c r="F49" s="510">
        <f t="shared" si="14"/>
        <v>122798.56004477429</v>
      </c>
      <c r="G49" s="511">
        <f t="shared" si="15"/>
        <v>73838.153095115704</v>
      </c>
      <c r="H49" s="477">
        <f t="shared" si="16"/>
        <v>73838.153095115704</v>
      </c>
      <c r="I49" s="500">
        <f t="shared" si="6"/>
        <v>0</v>
      </c>
      <c r="J49" s="500"/>
      <c r="K49" s="512"/>
      <c r="L49" s="504">
        <f t="shared" si="17"/>
        <v>0</v>
      </c>
      <c r="M49" s="512"/>
      <c r="N49" s="504">
        <f t="shared" si="4"/>
        <v>0</v>
      </c>
      <c r="O49" s="504">
        <f t="shared" si="5"/>
        <v>0</v>
      </c>
      <c r="P49" s="278"/>
      <c r="R49" s="243"/>
      <c r="S49" s="243"/>
      <c r="T49" s="243"/>
      <c r="U49" s="243"/>
    </row>
    <row r="50" spans="2:21">
      <c r="B50" s="145" t="str">
        <f t="shared" si="0"/>
        <v/>
      </c>
      <c r="C50" s="495">
        <f>IF(D11="","-",+C49+1)</f>
        <v>2047</v>
      </c>
      <c r="D50" s="508">
        <f>IF(F49+SUM(E$17:E49)=D$10,F49,D$10-SUM(E$17:E49))</f>
        <v>122798.56004477429</v>
      </c>
      <c r="E50" s="509">
        <f t="shared" si="13"/>
        <v>56503.788181818185</v>
      </c>
      <c r="F50" s="510">
        <f t="shared" si="14"/>
        <v>66294.771862956113</v>
      </c>
      <c r="G50" s="511">
        <f t="shared" si="15"/>
        <v>67353.847642796492</v>
      </c>
      <c r="H50" s="477">
        <f t="shared" si="16"/>
        <v>67353.847642796492</v>
      </c>
      <c r="I50" s="500">
        <f t="shared" si="6"/>
        <v>0</v>
      </c>
      <c r="J50" s="500"/>
      <c r="K50" s="512"/>
      <c r="L50" s="504">
        <f t="shared" si="17"/>
        <v>0</v>
      </c>
      <c r="M50" s="512"/>
      <c r="N50" s="504">
        <f t="shared" si="4"/>
        <v>0</v>
      </c>
      <c r="O50" s="504">
        <f t="shared" si="5"/>
        <v>0</v>
      </c>
      <c r="P50" s="278"/>
      <c r="R50" s="243"/>
      <c r="S50" s="243"/>
      <c r="T50" s="243"/>
      <c r="U50" s="243"/>
    </row>
    <row r="51" spans="2:21">
      <c r="B51" s="145" t="str">
        <f t="shared" si="0"/>
        <v/>
      </c>
      <c r="C51" s="495">
        <f>IF(D11="","-",+C50+1)</f>
        <v>2048</v>
      </c>
      <c r="D51" s="508">
        <f>IF(F50+SUM(E$17:E50)=D$10,F50,D$10-SUM(E$17:E50))</f>
        <v>66294.771862956113</v>
      </c>
      <c r="E51" s="509">
        <f t="shared" si="13"/>
        <v>56503.788181818185</v>
      </c>
      <c r="F51" s="510">
        <f t="shared" si="14"/>
        <v>9790.9836811379282</v>
      </c>
      <c r="G51" s="511">
        <f t="shared" si="15"/>
        <v>60869.542190477288</v>
      </c>
      <c r="H51" s="477">
        <f t="shared" si="16"/>
        <v>60869.542190477288</v>
      </c>
      <c r="I51" s="500">
        <f t="shared" si="6"/>
        <v>0</v>
      </c>
      <c r="J51" s="500"/>
      <c r="K51" s="512"/>
      <c r="L51" s="504">
        <f t="shared" si="17"/>
        <v>0</v>
      </c>
      <c r="M51" s="512"/>
      <c r="N51" s="504">
        <f t="shared" si="4"/>
        <v>0</v>
      </c>
      <c r="O51" s="504">
        <f t="shared" si="5"/>
        <v>0</v>
      </c>
      <c r="P51" s="278"/>
      <c r="R51" s="243"/>
      <c r="S51" s="243"/>
      <c r="T51" s="243"/>
      <c r="U51" s="243"/>
    </row>
    <row r="52" spans="2:21">
      <c r="B52" s="145" t="str">
        <f t="shared" si="0"/>
        <v/>
      </c>
      <c r="C52" s="495">
        <f>IF(D11="","-",+C51+1)</f>
        <v>2049</v>
      </c>
      <c r="D52" s="508">
        <f>IF(F51+SUM(E$17:E51)=D$10,F51,D$10-SUM(E$17:E51))</f>
        <v>9790.9836811379282</v>
      </c>
      <c r="E52" s="509">
        <f t="shared" si="13"/>
        <v>9790.9836811379282</v>
      </c>
      <c r="F52" s="510">
        <f t="shared" si="14"/>
        <v>0</v>
      </c>
      <c r="G52" s="511">
        <f t="shared" si="15"/>
        <v>10352.784322387679</v>
      </c>
      <c r="H52" s="477">
        <f t="shared" si="16"/>
        <v>10352.784322387679</v>
      </c>
      <c r="I52" s="500">
        <f t="shared" si="6"/>
        <v>0</v>
      </c>
      <c r="J52" s="500"/>
      <c r="K52" s="512"/>
      <c r="L52" s="504">
        <f t="shared" si="17"/>
        <v>0</v>
      </c>
      <c r="M52" s="512"/>
      <c r="N52" s="504">
        <f t="shared" si="4"/>
        <v>0</v>
      </c>
      <c r="O52" s="504">
        <f t="shared" si="5"/>
        <v>0</v>
      </c>
      <c r="P52" s="278"/>
      <c r="R52" s="243"/>
      <c r="S52" s="243"/>
      <c r="T52" s="243"/>
      <c r="U52" s="243"/>
    </row>
    <row r="53" spans="2:21">
      <c r="B53" s="145" t="str">
        <f t="shared" si="0"/>
        <v/>
      </c>
      <c r="C53" s="495">
        <f>IF(D11="","-",+C52+1)</f>
        <v>2050</v>
      </c>
      <c r="D53" s="508">
        <f>IF(F52+SUM(E$17:E52)=D$10,F52,D$10-SUM(E$17:E52))</f>
        <v>0</v>
      </c>
      <c r="E53" s="509">
        <f t="shared" si="13"/>
        <v>0</v>
      </c>
      <c r="F53" s="510">
        <f t="shared" si="14"/>
        <v>0</v>
      </c>
      <c r="G53" s="511">
        <f t="shared" si="15"/>
        <v>0</v>
      </c>
      <c r="H53" s="477">
        <f t="shared" si="16"/>
        <v>0</v>
      </c>
      <c r="I53" s="500">
        <f t="shared" si="6"/>
        <v>0</v>
      </c>
      <c r="J53" s="500"/>
      <c r="K53" s="512"/>
      <c r="L53" s="504">
        <f t="shared" si="17"/>
        <v>0</v>
      </c>
      <c r="M53" s="512"/>
      <c r="N53" s="504">
        <f t="shared" si="4"/>
        <v>0</v>
      </c>
      <c r="O53" s="504">
        <f t="shared" si="5"/>
        <v>0</v>
      </c>
      <c r="P53" s="278"/>
      <c r="R53" s="243"/>
      <c r="S53" s="243"/>
      <c r="T53" s="243"/>
      <c r="U53" s="243"/>
    </row>
    <row r="54" spans="2:21">
      <c r="B54" s="145" t="str">
        <f t="shared" si="0"/>
        <v/>
      </c>
      <c r="C54" s="495">
        <f>IF(D11="","-",+C53+1)</f>
        <v>2051</v>
      </c>
      <c r="D54" s="508">
        <f>IF(F53+SUM(E$17:E53)=D$10,F53,D$10-SUM(E$17:E53))</f>
        <v>0</v>
      </c>
      <c r="E54" s="509">
        <f t="shared" si="13"/>
        <v>0</v>
      </c>
      <c r="F54" s="510">
        <f t="shared" si="14"/>
        <v>0</v>
      </c>
      <c r="G54" s="511">
        <f t="shared" si="15"/>
        <v>0</v>
      </c>
      <c r="H54" s="477">
        <f t="shared" si="16"/>
        <v>0</v>
      </c>
      <c r="I54" s="500">
        <f t="shared" si="6"/>
        <v>0</v>
      </c>
      <c r="J54" s="500"/>
      <c r="K54" s="512"/>
      <c r="L54" s="504">
        <f t="shared" si="17"/>
        <v>0</v>
      </c>
      <c r="M54" s="512"/>
      <c r="N54" s="504">
        <f t="shared" si="4"/>
        <v>0</v>
      </c>
      <c r="O54" s="504">
        <f t="shared" si="5"/>
        <v>0</v>
      </c>
      <c r="P54" s="278"/>
      <c r="R54" s="243"/>
      <c r="S54" s="243"/>
      <c r="T54" s="243"/>
      <c r="U54" s="243"/>
    </row>
    <row r="55" spans="2:21">
      <c r="B55" s="145" t="str">
        <f t="shared" si="0"/>
        <v/>
      </c>
      <c r="C55" s="495">
        <f>IF(D11="","-",+C54+1)</f>
        <v>2052</v>
      </c>
      <c r="D55" s="508">
        <f>IF(F54+SUM(E$17:E54)=D$10,F54,D$10-SUM(E$17:E54))</f>
        <v>0</v>
      </c>
      <c r="E55" s="509">
        <f t="shared" si="13"/>
        <v>0</v>
      </c>
      <c r="F55" s="510">
        <f t="shared" si="14"/>
        <v>0</v>
      </c>
      <c r="G55" s="511">
        <f t="shared" si="15"/>
        <v>0</v>
      </c>
      <c r="H55" s="477">
        <f t="shared" si="16"/>
        <v>0</v>
      </c>
      <c r="I55" s="500">
        <f t="shared" si="6"/>
        <v>0</v>
      </c>
      <c r="J55" s="500"/>
      <c r="K55" s="512"/>
      <c r="L55" s="504">
        <f t="shared" si="17"/>
        <v>0</v>
      </c>
      <c r="M55" s="512"/>
      <c r="N55" s="504">
        <f t="shared" si="4"/>
        <v>0</v>
      </c>
      <c r="O55" s="504">
        <f t="shared" si="5"/>
        <v>0</v>
      </c>
      <c r="P55" s="278"/>
      <c r="R55" s="243"/>
      <c r="S55" s="243"/>
      <c r="T55" s="243"/>
      <c r="U55" s="243"/>
    </row>
    <row r="56" spans="2:21">
      <c r="B56" s="145" t="str">
        <f t="shared" si="0"/>
        <v/>
      </c>
      <c r="C56" s="495">
        <f>IF(D11="","-",+C55+1)</f>
        <v>2053</v>
      </c>
      <c r="D56" s="508">
        <f>IF(F55+SUM(E$17:E55)=D$10,F55,D$10-SUM(E$17:E55))</f>
        <v>0</v>
      </c>
      <c r="E56" s="509">
        <f t="shared" si="13"/>
        <v>0</v>
      </c>
      <c r="F56" s="510">
        <f t="shared" si="14"/>
        <v>0</v>
      </c>
      <c r="G56" s="511">
        <f t="shared" si="15"/>
        <v>0</v>
      </c>
      <c r="H56" s="477">
        <f t="shared" si="16"/>
        <v>0</v>
      </c>
      <c r="I56" s="500">
        <f t="shared" si="6"/>
        <v>0</v>
      </c>
      <c r="J56" s="500"/>
      <c r="K56" s="512"/>
      <c r="L56" s="504">
        <f t="shared" si="17"/>
        <v>0</v>
      </c>
      <c r="M56" s="512"/>
      <c r="N56" s="504">
        <f t="shared" si="4"/>
        <v>0</v>
      </c>
      <c r="O56" s="504">
        <f t="shared" si="5"/>
        <v>0</v>
      </c>
      <c r="P56" s="278"/>
      <c r="R56" s="243"/>
      <c r="S56" s="243"/>
      <c r="T56" s="243"/>
      <c r="U56" s="243"/>
    </row>
    <row r="57" spans="2:21">
      <c r="B57" s="145" t="str">
        <f t="shared" si="0"/>
        <v/>
      </c>
      <c r="C57" s="495">
        <f>IF(D11="","-",+C56+1)</f>
        <v>2054</v>
      </c>
      <c r="D57" s="508">
        <f>IF(F56+SUM(E$17:E56)=D$10,F56,D$10-SUM(E$17:E56))</f>
        <v>0</v>
      </c>
      <c r="E57" s="509">
        <f t="shared" si="13"/>
        <v>0</v>
      </c>
      <c r="F57" s="510">
        <f t="shared" si="14"/>
        <v>0</v>
      </c>
      <c r="G57" s="511">
        <f t="shared" si="15"/>
        <v>0</v>
      </c>
      <c r="H57" s="477">
        <f t="shared" si="16"/>
        <v>0</v>
      </c>
      <c r="I57" s="500">
        <f t="shared" si="6"/>
        <v>0</v>
      </c>
      <c r="J57" s="500"/>
      <c r="K57" s="512"/>
      <c r="L57" s="504">
        <f t="shared" si="17"/>
        <v>0</v>
      </c>
      <c r="M57" s="512"/>
      <c r="N57" s="504">
        <f t="shared" si="4"/>
        <v>0</v>
      </c>
      <c r="O57" s="504">
        <f t="shared" si="5"/>
        <v>0</v>
      </c>
      <c r="P57" s="278"/>
      <c r="R57" s="243"/>
      <c r="S57" s="243"/>
      <c r="T57" s="243"/>
      <c r="U57" s="243"/>
    </row>
    <row r="58" spans="2:21">
      <c r="B58" s="145" t="str">
        <f t="shared" si="0"/>
        <v/>
      </c>
      <c r="C58" s="495">
        <f>IF(D11="","-",+C57+1)</f>
        <v>2055</v>
      </c>
      <c r="D58" s="508">
        <f>IF(F57+SUM(E$17:E57)=D$10,F57,D$10-SUM(E$17:E57))</f>
        <v>0</v>
      </c>
      <c r="E58" s="509">
        <f t="shared" si="13"/>
        <v>0</v>
      </c>
      <c r="F58" s="510">
        <f t="shared" si="14"/>
        <v>0</v>
      </c>
      <c r="G58" s="511">
        <f t="shared" si="15"/>
        <v>0</v>
      </c>
      <c r="H58" s="477">
        <f t="shared" si="16"/>
        <v>0</v>
      </c>
      <c r="I58" s="500">
        <f t="shared" si="6"/>
        <v>0</v>
      </c>
      <c r="J58" s="500"/>
      <c r="K58" s="512"/>
      <c r="L58" s="504">
        <f t="shared" si="17"/>
        <v>0</v>
      </c>
      <c r="M58" s="512"/>
      <c r="N58" s="504">
        <f t="shared" si="4"/>
        <v>0</v>
      </c>
      <c r="O58" s="504">
        <f t="shared" si="5"/>
        <v>0</v>
      </c>
      <c r="P58" s="278"/>
      <c r="R58" s="243"/>
      <c r="S58" s="243"/>
      <c r="T58" s="243"/>
      <c r="U58" s="243"/>
    </row>
    <row r="59" spans="2:21">
      <c r="B59" s="145" t="str">
        <f t="shared" si="0"/>
        <v/>
      </c>
      <c r="C59" s="495">
        <f>IF(D11="","-",+C58+1)</f>
        <v>2056</v>
      </c>
      <c r="D59" s="508">
        <f>IF(F58+SUM(E$17:E58)=D$10,F58,D$10-SUM(E$17:E58))</f>
        <v>0</v>
      </c>
      <c r="E59" s="509">
        <f t="shared" si="13"/>
        <v>0</v>
      </c>
      <c r="F59" s="510">
        <f t="shared" si="14"/>
        <v>0</v>
      </c>
      <c r="G59" s="511">
        <f t="shared" si="15"/>
        <v>0</v>
      </c>
      <c r="H59" s="477">
        <f t="shared" si="16"/>
        <v>0</v>
      </c>
      <c r="I59" s="500">
        <f t="shared" si="6"/>
        <v>0</v>
      </c>
      <c r="J59" s="500"/>
      <c r="K59" s="512"/>
      <c r="L59" s="504">
        <f t="shared" si="17"/>
        <v>0</v>
      </c>
      <c r="M59" s="512"/>
      <c r="N59" s="504">
        <f t="shared" si="4"/>
        <v>0</v>
      </c>
      <c r="O59" s="504">
        <f t="shared" si="5"/>
        <v>0</v>
      </c>
      <c r="P59" s="278"/>
      <c r="R59" s="243"/>
      <c r="S59" s="243"/>
      <c r="T59" s="243"/>
      <c r="U59" s="243"/>
    </row>
    <row r="60" spans="2:21">
      <c r="B60" s="145" t="str">
        <f t="shared" si="0"/>
        <v/>
      </c>
      <c r="C60" s="495">
        <f>IF(D11="","-",+C59+1)</f>
        <v>2057</v>
      </c>
      <c r="D60" s="508">
        <f>IF(F59+SUM(E$17:E59)=D$10,F59,D$10-SUM(E$17:E59))</f>
        <v>0</v>
      </c>
      <c r="E60" s="509">
        <f t="shared" si="13"/>
        <v>0</v>
      </c>
      <c r="F60" s="510">
        <f t="shared" si="14"/>
        <v>0</v>
      </c>
      <c r="G60" s="511">
        <f t="shared" si="15"/>
        <v>0</v>
      </c>
      <c r="H60" s="477">
        <f t="shared" si="16"/>
        <v>0</v>
      </c>
      <c r="I60" s="500">
        <f t="shared" si="6"/>
        <v>0</v>
      </c>
      <c r="J60" s="500"/>
      <c r="K60" s="512"/>
      <c r="L60" s="504">
        <f t="shared" si="17"/>
        <v>0</v>
      </c>
      <c r="M60" s="512"/>
      <c r="N60" s="504">
        <f t="shared" si="4"/>
        <v>0</v>
      </c>
      <c r="O60" s="504">
        <f t="shared" si="5"/>
        <v>0</v>
      </c>
      <c r="P60" s="278"/>
      <c r="R60" s="243"/>
      <c r="S60" s="243"/>
      <c r="T60" s="243"/>
      <c r="U60" s="243"/>
    </row>
    <row r="61" spans="2:21">
      <c r="B61" s="145" t="str">
        <f t="shared" si="0"/>
        <v/>
      </c>
      <c r="C61" s="495">
        <f>IF(D11="","-",+C60+1)</f>
        <v>2058</v>
      </c>
      <c r="D61" s="508">
        <f>IF(F60+SUM(E$17:E60)=D$10,F60,D$10-SUM(E$17:E60))</f>
        <v>0</v>
      </c>
      <c r="E61" s="509">
        <f t="shared" si="13"/>
        <v>0</v>
      </c>
      <c r="F61" s="510">
        <f t="shared" si="14"/>
        <v>0</v>
      </c>
      <c r="G61" s="511">
        <f t="shared" si="15"/>
        <v>0</v>
      </c>
      <c r="H61" s="477">
        <f t="shared" si="16"/>
        <v>0</v>
      </c>
      <c r="I61" s="500">
        <f t="shared" si="6"/>
        <v>0</v>
      </c>
      <c r="J61" s="500"/>
      <c r="K61" s="512"/>
      <c r="L61" s="504">
        <f t="shared" si="17"/>
        <v>0</v>
      </c>
      <c r="M61" s="512"/>
      <c r="N61" s="504">
        <f t="shared" si="4"/>
        <v>0</v>
      </c>
      <c r="O61" s="504">
        <f t="shared" si="5"/>
        <v>0</v>
      </c>
      <c r="P61" s="278"/>
      <c r="R61" s="243"/>
      <c r="S61" s="243"/>
      <c r="T61" s="243"/>
      <c r="U61" s="243"/>
    </row>
    <row r="62" spans="2:21">
      <c r="B62" s="145" t="str">
        <f t="shared" si="0"/>
        <v/>
      </c>
      <c r="C62" s="495">
        <f>IF(D11="","-",+C61+1)</f>
        <v>2059</v>
      </c>
      <c r="D62" s="508">
        <f>IF(F61+SUM(E$17:E61)=D$10,F61,D$10-SUM(E$17:E61))</f>
        <v>0</v>
      </c>
      <c r="E62" s="509">
        <f t="shared" si="13"/>
        <v>0</v>
      </c>
      <c r="F62" s="510">
        <f t="shared" si="14"/>
        <v>0</v>
      </c>
      <c r="G62" s="511">
        <f t="shared" si="15"/>
        <v>0</v>
      </c>
      <c r="H62" s="477">
        <f t="shared" si="16"/>
        <v>0</v>
      </c>
      <c r="I62" s="500">
        <f t="shared" si="6"/>
        <v>0</v>
      </c>
      <c r="J62" s="500"/>
      <c r="K62" s="512"/>
      <c r="L62" s="504">
        <f t="shared" si="17"/>
        <v>0</v>
      </c>
      <c r="M62" s="512"/>
      <c r="N62" s="504">
        <f t="shared" si="4"/>
        <v>0</v>
      </c>
      <c r="O62" s="504">
        <f t="shared" si="5"/>
        <v>0</v>
      </c>
      <c r="P62" s="278"/>
      <c r="R62" s="243"/>
      <c r="S62" s="243"/>
      <c r="T62" s="243"/>
      <c r="U62" s="243"/>
    </row>
    <row r="63" spans="2:21">
      <c r="B63" s="145" t="str">
        <f t="shared" si="0"/>
        <v/>
      </c>
      <c r="C63" s="495">
        <f>IF(D11="","-",+C62+1)</f>
        <v>2060</v>
      </c>
      <c r="D63" s="508">
        <f>IF(F62+SUM(E$17:E62)=D$10,F62,D$10-SUM(E$17:E62))</f>
        <v>0</v>
      </c>
      <c r="E63" s="509">
        <f t="shared" si="13"/>
        <v>0</v>
      </c>
      <c r="F63" s="510">
        <f t="shared" si="14"/>
        <v>0</v>
      </c>
      <c r="G63" s="511">
        <f t="shared" si="15"/>
        <v>0</v>
      </c>
      <c r="H63" s="477">
        <f t="shared" si="16"/>
        <v>0</v>
      </c>
      <c r="I63" s="500">
        <f t="shared" si="6"/>
        <v>0</v>
      </c>
      <c r="J63" s="500"/>
      <c r="K63" s="512"/>
      <c r="L63" s="504">
        <f t="shared" si="17"/>
        <v>0</v>
      </c>
      <c r="M63" s="512"/>
      <c r="N63" s="504">
        <f t="shared" si="4"/>
        <v>0</v>
      </c>
      <c r="O63" s="504">
        <f t="shared" si="5"/>
        <v>0</v>
      </c>
      <c r="P63" s="278"/>
      <c r="R63" s="243"/>
      <c r="S63" s="243"/>
      <c r="T63" s="243"/>
      <c r="U63" s="243"/>
    </row>
    <row r="64" spans="2:21">
      <c r="B64" s="145" t="str">
        <f t="shared" si="0"/>
        <v/>
      </c>
      <c r="C64" s="495">
        <f>IF(D11="","-",+C63+1)</f>
        <v>2061</v>
      </c>
      <c r="D64" s="508">
        <f>IF(F63+SUM(E$17:E63)=D$10,F63,D$10-SUM(E$17:E63))</f>
        <v>0</v>
      </c>
      <c r="E64" s="509">
        <f t="shared" si="13"/>
        <v>0</v>
      </c>
      <c r="F64" s="510">
        <f t="shared" si="14"/>
        <v>0</v>
      </c>
      <c r="G64" s="511">
        <f t="shared" si="15"/>
        <v>0</v>
      </c>
      <c r="H64" s="477">
        <f t="shared" si="16"/>
        <v>0</v>
      </c>
      <c r="I64" s="500">
        <f t="shared" si="6"/>
        <v>0</v>
      </c>
      <c r="J64" s="500"/>
      <c r="K64" s="512"/>
      <c r="L64" s="504">
        <f t="shared" si="17"/>
        <v>0</v>
      </c>
      <c r="M64" s="512"/>
      <c r="N64" s="504">
        <f t="shared" si="4"/>
        <v>0</v>
      </c>
      <c r="O64" s="504">
        <f t="shared" si="5"/>
        <v>0</v>
      </c>
      <c r="P64" s="278"/>
      <c r="R64" s="243"/>
      <c r="S64" s="243"/>
      <c r="T64" s="243"/>
      <c r="U64" s="243"/>
    </row>
    <row r="65" spans="2:21">
      <c r="B65" s="145" t="str">
        <f t="shared" si="0"/>
        <v/>
      </c>
      <c r="C65" s="495">
        <f>IF(D11="","-",+C64+1)</f>
        <v>2062</v>
      </c>
      <c r="D65" s="508">
        <f>IF(F64+SUM(E$17:E64)=D$10,F64,D$10-SUM(E$17:E64))</f>
        <v>0</v>
      </c>
      <c r="E65" s="509">
        <f t="shared" si="13"/>
        <v>0</v>
      </c>
      <c r="F65" s="510">
        <f t="shared" si="14"/>
        <v>0</v>
      </c>
      <c r="G65" s="511">
        <f t="shared" si="15"/>
        <v>0</v>
      </c>
      <c r="H65" s="477">
        <f t="shared" si="16"/>
        <v>0</v>
      </c>
      <c r="I65" s="500">
        <f t="shared" si="6"/>
        <v>0</v>
      </c>
      <c r="J65" s="500"/>
      <c r="K65" s="512"/>
      <c r="L65" s="504">
        <f t="shared" si="17"/>
        <v>0</v>
      </c>
      <c r="M65" s="512"/>
      <c r="N65" s="504">
        <f t="shared" si="4"/>
        <v>0</v>
      </c>
      <c r="O65" s="504">
        <f t="shared" si="5"/>
        <v>0</v>
      </c>
      <c r="P65" s="278"/>
      <c r="R65" s="243"/>
      <c r="S65" s="243"/>
      <c r="T65" s="243"/>
      <c r="U65" s="243"/>
    </row>
    <row r="66" spans="2:21">
      <c r="B66" s="145" t="str">
        <f t="shared" si="0"/>
        <v/>
      </c>
      <c r="C66" s="495">
        <f>IF(D11="","-",+C65+1)</f>
        <v>2063</v>
      </c>
      <c r="D66" s="508">
        <f>IF(F65+SUM(E$17:E65)=D$10,F65,D$10-SUM(E$17:E65))</f>
        <v>0</v>
      </c>
      <c r="E66" s="509">
        <f t="shared" si="13"/>
        <v>0</v>
      </c>
      <c r="F66" s="510">
        <f t="shared" si="14"/>
        <v>0</v>
      </c>
      <c r="G66" s="511">
        <f t="shared" si="15"/>
        <v>0</v>
      </c>
      <c r="H66" s="477">
        <f t="shared" si="16"/>
        <v>0</v>
      </c>
      <c r="I66" s="500">
        <f t="shared" si="6"/>
        <v>0</v>
      </c>
      <c r="J66" s="500"/>
      <c r="K66" s="512"/>
      <c r="L66" s="504">
        <f t="shared" si="17"/>
        <v>0</v>
      </c>
      <c r="M66" s="512"/>
      <c r="N66" s="504">
        <f t="shared" si="4"/>
        <v>0</v>
      </c>
      <c r="O66" s="504">
        <f t="shared" si="5"/>
        <v>0</v>
      </c>
      <c r="P66" s="278"/>
      <c r="R66" s="243"/>
      <c r="S66" s="243"/>
      <c r="T66" s="243"/>
      <c r="U66" s="243"/>
    </row>
    <row r="67" spans="2:21">
      <c r="B67" s="145" t="str">
        <f t="shared" si="0"/>
        <v/>
      </c>
      <c r="C67" s="495">
        <f>IF(D11="","-",+C66+1)</f>
        <v>2064</v>
      </c>
      <c r="D67" s="508">
        <f>IF(F66+SUM(E$17:E66)=D$10,F66,D$10-SUM(E$17:E66))</f>
        <v>0</v>
      </c>
      <c r="E67" s="509">
        <f t="shared" si="13"/>
        <v>0</v>
      </c>
      <c r="F67" s="510">
        <f t="shared" si="14"/>
        <v>0</v>
      </c>
      <c r="G67" s="511">
        <f t="shared" si="15"/>
        <v>0</v>
      </c>
      <c r="H67" s="477">
        <f t="shared" si="16"/>
        <v>0</v>
      </c>
      <c r="I67" s="500">
        <f t="shared" si="6"/>
        <v>0</v>
      </c>
      <c r="J67" s="500"/>
      <c r="K67" s="512"/>
      <c r="L67" s="504">
        <f t="shared" si="17"/>
        <v>0</v>
      </c>
      <c r="M67" s="512"/>
      <c r="N67" s="504">
        <f t="shared" si="4"/>
        <v>0</v>
      </c>
      <c r="O67" s="504">
        <f t="shared" si="5"/>
        <v>0</v>
      </c>
      <c r="P67" s="278"/>
      <c r="R67" s="243"/>
      <c r="S67" s="243"/>
      <c r="T67" s="243"/>
      <c r="U67" s="243"/>
    </row>
    <row r="68" spans="2:21">
      <c r="B68" s="145" t="str">
        <f t="shared" si="0"/>
        <v/>
      </c>
      <c r="C68" s="495">
        <f>IF(D11="","-",+C67+1)</f>
        <v>2065</v>
      </c>
      <c r="D68" s="508">
        <f>IF(F67+SUM(E$17:E67)=D$10,F67,D$10-SUM(E$17:E67))</f>
        <v>0</v>
      </c>
      <c r="E68" s="509">
        <f t="shared" si="13"/>
        <v>0</v>
      </c>
      <c r="F68" s="510">
        <f t="shared" si="14"/>
        <v>0</v>
      </c>
      <c r="G68" s="511">
        <f t="shared" si="15"/>
        <v>0</v>
      </c>
      <c r="H68" s="477">
        <f t="shared" si="16"/>
        <v>0</v>
      </c>
      <c r="I68" s="500">
        <f t="shared" si="6"/>
        <v>0</v>
      </c>
      <c r="J68" s="500"/>
      <c r="K68" s="512"/>
      <c r="L68" s="504">
        <f t="shared" si="17"/>
        <v>0</v>
      </c>
      <c r="M68" s="512"/>
      <c r="N68" s="504">
        <f t="shared" si="4"/>
        <v>0</v>
      </c>
      <c r="O68" s="504">
        <f t="shared" si="5"/>
        <v>0</v>
      </c>
      <c r="P68" s="278"/>
      <c r="R68" s="243"/>
      <c r="S68" s="243"/>
      <c r="T68" s="243"/>
      <c r="U68" s="243"/>
    </row>
    <row r="69" spans="2:21">
      <c r="B69" s="145" t="str">
        <f t="shared" si="0"/>
        <v/>
      </c>
      <c r="C69" s="495">
        <f>IF(D11="","-",+C68+1)</f>
        <v>2066</v>
      </c>
      <c r="D69" s="508">
        <f>IF(F68+SUM(E$17:E68)=D$10,F68,D$10-SUM(E$17:E68))</f>
        <v>0</v>
      </c>
      <c r="E69" s="509">
        <f t="shared" si="13"/>
        <v>0</v>
      </c>
      <c r="F69" s="510">
        <f t="shared" si="14"/>
        <v>0</v>
      </c>
      <c r="G69" s="511">
        <f t="shared" si="15"/>
        <v>0</v>
      </c>
      <c r="H69" s="477">
        <f t="shared" si="16"/>
        <v>0</v>
      </c>
      <c r="I69" s="500">
        <f t="shared" si="6"/>
        <v>0</v>
      </c>
      <c r="J69" s="500"/>
      <c r="K69" s="512"/>
      <c r="L69" s="504">
        <f t="shared" si="17"/>
        <v>0</v>
      </c>
      <c r="M69" s="512"/>
      <c r="N69" s="504">
        <f t="shared" si="4"/>
        <v>0</v>
      </c>
      <c r="O69" s="504">
        <f t="shared" si="5"/>
        <v>0</v>
      </c>
      <c r="P69" s="278"/>
      <c r="R69" s="243"/>
      <c r="S69" s="243"/>
      <c r="T69" s="243"/>
      <c r="U69" s="243"/>
    </row>
    <row r="70" spans="2:21">
      <c r="B70" s="145" t="str">
        <f t="shared" si="0"/>
        <v/>
      </c>
      <c r="C70" s="495">
        <f>IF(D11="","-",+C69+1)</f>
        <v>2067</v>
      </c>
      <c r="D70" s="508">
        <f>IF(F69+SUM(E$17:E69)=D$10,F69,D$10-SUM(E$17:E69))</f>
        <v>0</v>
      </c>
      <c r="E70" s="509">
        <f t="shared" si="13"/>
        <v>0</v>
      </c>
      <c r="F70" s="510">
        <f t="shared" si="14"/>
        <v>0</v>
      </c>
      <c r="G70" s="511">
        <f t="shared" si="15"/>
        <v>0</v>
      </c>
      <c r="H70" s="477">
        <f t="shared" si="16"/>
        <v>0</v>
      </c>
      <c r="I70" s="500">
        <f t="shared" si="6"/>
        <v>0</v>
      </c>
      <c r="J70" s="500"/>
      <c r="K70" s="512"/>
      <c r="L70" s="504">
        <f t="shared" si="17"/>
        <v>0</v>
      </c>
      <c r="M70" s="512"/>
      <c r="N70" s="504">
        <f t="shared" si="4"/>
        <v>0</v>
      </c>
      <c r="O70" s="504">
        <f t="shared" si="5"/>
        <v>0</v>
      </c>
      <c r="P70" s="278"/>
      <c r="R70" s="243"/>
      <c r="S70" s="243"/>
      <c r="T70" s="243"/>
      <c r="U70" s="243"/>
    </row>
    <row r="71" spans="2:21">
      <c r="B71" s="145" t="str">
        <f t="shared" si="0"/>
        <v/>
      </c>
      <c r="C71" s="495">
        <f>IF(D11="","-",+C70+1)</f>
        <v>2068</v>
      </c>
      <c r="D71" s="508">
        <f>IF(F70+SUM(E$17:E70)=D$10,F70,D$10-SUM(E$17:E70))</f>
        <v>0</v>
      </c>
      <c r="E71" s="509">
        <f t="shared" si="13"/>
        <v>0</v>
      </c>
      <c r="F71" s="510">
        <f t="shared" si="14"/>
        <v>0</v>
      </c>
      <c r="G71" s="511">
        <f t="shared" si="15"/>
        <v>0</v>
      </c>
      <c r="H71" s="477">
        <f t="shared" si="16"/>
        <v>0</v>
      </c>
      <c r="I71" s="500">
        <f t="shared" si="6"/>
        <v>0</v>
      </c>
      <c r="J71" s="500"/>
      <c r="K71" s="512"/>
      <c r="L71" s="504">
        <f t="shared" si="17"/>
        <v>0</v>
      </c>
      <c r="M71" s="512"/>
      <c r="N71" s="504">
        <f t="shared" si="4"/>
        <v>0</v>
      </c>
      <c r="O71" s="504">
        <f t="shared" si="5"/>
        <v>0</v>
      </c>
      <c r="P71" s="278"/>
      <c r="R71" s="243"/>
      <c r="S71" s="243"/>
      <c r="T71" s="243"/>
      <c r="U71" s="243"/>
    </row>
    <row r="72" spans="2:21">
      <c r="B72" s="145" t="str">
        <f t="shared" si="0"/>
        <v/>
      </c>
      <c r="C72" s="495">
        <f>IF(D11="","-",+C71+1)</f>
        <v>2069</v>
      </c>
      <c r="D72" s="508">
        <f>IF(F71+SUM(E$17:E71)=D$10,F71,D$10-SUM(E$17:E71))</f>
        <v>0</v>
      </c>
      <c r="E72" s="509">
        <f t="shared" si="13"/>
        <v>0</v>
      </c>
      <c r="F72" s="510">
        <f t="shared" si="14"/>
        <v>0</v>
      </c>
      <c r="G72" s="511">
        <f t="shared" si="15"/>
        <v>0</v>
      </c>
      <c r="H72" s="477">
        <f t="shared" si="16"/>
        <v>0</v>
      </c>
      <c r="I72" s="500">
        <f t="shared" si="6"/>
        <v>0</v>
      </c>
      <c r="J72" s="500"/>
      <c r="K72" s="512"/>
      <c r="L72" s="504">
        <f t="shared" si="17"/>
        <v>0</v>
      </c>
      <c r="M72" s="512"/>
      <c r="N72" s="504">
        <f t="shared" si="4"/>
        <v>0</v>
      </c>
      <c r="O72" s="504">
        <f t="shared" si="5"/>
        <v>0</v>
      </c>
      <c r="P72" s="278"/>
      <c r="R72" s="243"/>
      <c r="S72" s="243"/>
      <c r="T72" s="243"/>
      <c r="U72" s="243"/>
    </row>
    <row r="73" spans="2:21" ht="13.5" thickBot="1">
      <c r="B73" s="145" t="str">
        <f t="shared" si="0"/>
        <v/>
      </c>
      <c r="C73" s="524">
        <f>IF(D11="","-",+C72+1)</f>
        <v>2070</v>
      </c>
      <c r="D73" s="525">
        <f>IF(F72+SUM(E$17:E72)=D$10,F72,D$10-SUM(E$17:E72))</f>
        <v>0</v>
      </c>
      <c r="E73" s="526">
        <f t="shared" si="13"/>
        <v>0</v>
      </c>
      <c r="F73" s="527">
        <f t="shared" si="14"/>
        <v>0</v>
      </c>
      <c r="G73" s="611">
        <f t="shared" si="15"/>
        <v>0</v>
      </c>
      <c r="H73" s="458">
        <f t="shared" si="16"/>
        <v>0</v>
      </c>
      <c r="I73" s="529">
        <f t="shared" si="6"/>
        <v>0</v>
      </c>
      <c r="J73" s="500"/>
      <c r="K73" s="530"/>
      <c r="L73" s="531">
        <f t="shared" si="17"/>
        <v>0</v>
      </c>
      <c r="M73" s="530"/>
      <c r="N73" s="531">
        <f t="shared" si="4"/>
        <v>0</v>
      </c>
      <c r="O73" s="531">
        <f t="shared" si="5"/>
        <v>0</v>
      </c>
      <c r="P73" s="278"/>
      <c r="R73" s="243"/>
      <c r="S73" s="243"/>
      <c r="T73" s="243"/>
      <c r="U73" s="243"/>
    </row>
    <row r="74" spans="2:21">
      <c r="C74" s="349" t="s">
        <v>75</v>
      </c>
      <c r="D74" s="294"/>
      <c r="E74" s="294">
        <f>SUM(E17:E73)</f>
        <v>1864625.0099999993</v>
      </c>
      <c r="F74" s="294"/>
      <c r="G74" s="294">
        <f>SUM(G17:G73)</f>
        <v>5444735.5294209039</v>
      </c>
      <c r="H74" s="294">
        <f>SUM(H17:H73)</f>
        <v>5444735.5294209039</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438" t="str">
        <f ca="1">P1</f>
        <v>OKT Project 8 of 23</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2020</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225892.94644088054</v>
      </c>
      <c r="N88" s="544">
        <f>IF(J93&lt;D11,0,VLOOKUP(J93,C17:O73,11))</f>
        <v>225892.94644088054</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235752.93131710603</v>
      </c>
      <c r="N89" s="548">
        <f>IF(J93&lt;D11,0,VLOOKUP(J93,C100:P155,7))</f>
        <v>235752.93131710603</v>
      </c>
      <c r="O89" s="549">
        <f>+N89-M89</f>
        <v>0</v>
      </c>
      <c r="P89" s="243"/>
      <c r="Q89" s="243"/>
      <c r="R89" s="243"/>
      <c r="S89" s="243"/>
      <c r="T89" s="243"/>
      <c r="U89" s="243"/>
    </row>
    <row r="90" spans="1:21" ht="13.5" thickBot="1">
      <c r="C90" s="454" t="s">
        <v>82</v>
      </c>
      <c r="D90" s="550" t="str">
        <f>+D7</f>
        <v>Coweta 69 kV Capacitor</v>
      </c>
      <c r="E90" s="243"/>
      <c r="F90" s="243"/>
      <c r="G90" s="243"/>
      <c r="H90" s="243"/>
      <c r="I90" s="325"/>
      <c r="J90" s="325"/>
      <c r="K90" s="551"/>
      <c r="L90" s="552" t="s">
        <v>135</v>
      </c>
      <c r="M90" s="553">
        <f>+M89-M88</f>
        <v>9859.9848762254987</v>
      </c>
      <c r="N90" s="553">
        <f>+N89-N88</f>
        <v>9859.9848762254987</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f>+D9</f>
        <v>0</v>
      </c>
      <c r="E92" s="558"/>
      <c r="F92" s="558"/>
      <c r="G92" s="558"/>
      <c r="H92" s="558"/>
      <c r="I92" s="558"/>
      <c r="J92" s="558"/>
      <c r="K92" s="560"/>
      <c r="P92" s="468"/>
      <c r="Q92" s="243"/>
      <c r="R92" s="243"/>
      <c r="S92" s="243"/>
      <c r="T92" s="243"/>
      <c r="U92" s="243"/>
    </row>
    <row r="93" spans="1:21">
      <c r="C93" s="472" t="s">
        <v>49</v>
      </c>
      <c r="D93" s="598">
        <f>IF(D11=I10,0,D10)</f>
        <v>1864625.01</v>
      </c>
      <c r="E93" s="248" t="s">
        <v>84</v>
      </c>
      <c r="H93" s="408"/>
      <c r="I93" s="408"/>
      <c r="J93" s="471">
        <f>+'OKT.WS.G.BPU.ATRR.True-up'!M16</f>
        <v>2020</v>
      </c>
      <c r="K93" s="467"/>
      <c r="L93" s="294" t="s">
        <v>85</v>
      </c>
      <c r="P93" s="278"/>
      <c r="Q93" s="243"/>
      <c r="R93" s="243"/>
      <c r="S93" s="243"/>
      <c r="T93" s="243"/>
      <c r="U93" s="243"/>
    </row>
    <row r="94" spans="1:21">
      <c r="C94" s="472" t="s">
        <v>52</v>
      </c>
      <c r="D94" s="561">
        <f>IF(D11=I10,"",D11)</f>
        <v>2014</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82">
        <f>IF(D11=I10,"",D12)</f>
        <v>6</v>
      </c>
      <c r="E95" s="472" t="s">
        <v>55</v>
      </c>
      <c r="F95" s="408"/>
      <c r="G95" s="408"/>
      <c r="J95" s="476">
        <f>'OKT.WS.G.BPU.ATRR.True-up'!$F$81</f>
        <v>0.11475877389767174</v>
      </c>
      <c r="K95" s="413"/>
      <c r="L95" s="145" t="s">
        <v>86</v>
      </c>
      <c r="P95" s="278"/>
      <c r="Q95" s="243"/>
      <c r="R95" s="243"/>
      <c r="S95" s="243"/>
      <c r="T95" s="243"/>
      <c r="U95" s="243"/>
    </row>
    <row r="96" spans="1:21">
      <c r="C96" s="472" t="s">
        <v>57</v>
      </c>
      <c r="D96" s="474">
        <f>'OKT.WS.G.BPU.ATRR.True-up'!F$93</f>
        <v>21</v>
      </c>
      <c r="E96" s="472" t="s">
        <v>58</v>
      </c>
      <c r="F96" s="408"/>
      <c r="G96" s="408"/>
      <c r="J96" s="476">
        <f>IF(H88="",J95,'OKT.WS.G.BPU.ATRR.True-up'!$F$80)</f>
        <v>0.11475877389767174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88791.667142857143</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C100" s="495">
        <f>IF(D94= "","-",D94)</f>
        <v>2014</v>
      </c>
      <c r="D100" s="612">
        <v>0</v>
      </c>
      <c r="E100" s="613">
        <v>16074.353534482758</v>
      </c>
      <c r="F100" s="614">
        <v>1848550.6564655174</v>
      </c>
      <c r="G100" s="615">
        <v>924275.32823275868</v>
      </c>
      <c r="H100" s="615">
        <v>115474.09051785123</v>
      </c>
      <c r="I100" s="615">
        <v>115474.09051785123</v>
      </c>
      <c r="J100" s="504">
        <v>0</v>
      </c>
      <c r="K100" s="504"/>
      <c r="L100" s="506">
        <f t="shared" ref="L100:L106" si="18">H100</f>
        <v>115474.09051785123</v>
      </c>
      <c r="M100" s="504">
        <f t="shared" ref="M100:M106" si="19">IF(L100&lt;&gt;0,+H100-L100,0)</f>
        <v>0</v>
      </c>
      <c r="N100" s="506">
        <f t="shared" ref="N100:N106" si="20">I100</f>
        <v>115474.09051785123</v>
      </c>
      <c r="O100" s="504">
        <f>IF(N100&lt;&gt;0,+I100-N100,0)</f>
        <v>0</v>
      </c>
      <c r="P100" s="504">
        <f>+O100-M100</f>
        <v>0</v>
      </c>
      <c r="Q100" s="243"/>
      <c r="R100" s="243"/>
      <c r="S100" s="243"/>
      <c r="T100" s="243"/>
      <c r="U100" s="243"/>
    </row>
    <row r="101" spans="1:21">
      <c r="C101" s="495">
        <f>IF(D94="","-",+C100+1)</f>
        <v>2015</v>
      </c>
      <c r="D101" s="505">
        <v>1848550.6564655174</v>
      </c>
      <c r="E101" s="498">
        <v>38846.354375000003</v>
      </c>
      <c r="F101" s="505">
        <v>1809704.3020905172</v>
      </c>
      <c r="G101" s="498">
        <v>1829127.4792780173</v>
      </c>
      <c r="H101" s="499">
        <v>242482.07146648291</v>
      </c>
      <c r="I101" s="499">
        <v>242482.07146648291</v>
      </c>
      <c r="J101" s="499">
        <v>0</v>
      </c>
      <c r="K101" s="504"/>
      <c r="L101" s="506">
        <f t="shared" si="18"/>
        <v>242482.07146648291</v>
      </c>
      <c r="M101" s="504">
        <f t="shared" si="19"/>
        <v>0</v>
      </c>
      <c r="N101" s="506">
        <f t="shared" si="20"/>
        <v>242482.07146648291</v>
      </c>
      <c r="O101" s="504">
        <f t="shared" ref="O101:O131" si="21">IF(N101&lt;&gt;0,+I101-N101,0)</f>
        <v>0</v>
      </c>
      <c r="P101" s="504">
        <f t="shared" ref="P101:P131" si="22">+O101-M101</f>
        <v>0</v>
      </c>
      <c r="Q101" s="243"/>
      <c r="R101" s="243"/>
      <c r="S101" s="243"/>
      <c r="T101" s="243"/>
      <c r="U101" s="243"/>
    </row>
    <row r="102" spans="1:21">
      <c r="C102" s="495">
        <f>IF(D94="","-",+C101+1)</f>
        <v>2016</v>
      </c>
      <c r="D102" s="505">
        <v>1809704.3020905172</v>
      </c>
      <c r="E102" s="498">
        <v>36561.274705882352</v>
      </c>
      <c r="F102" s="505">
        <v>1773143.0273846348</v>
      </c>
      <c r="G102" s="498">
        <v>1791423.6647375762</v>
      </c>
      <c r="H102" s="499">
        <v>230696.88883644732</v>
      </c>
      <c r="I102" s="499">
        <v>230696.88883644732</v>
      </c>
      <c r="J102" s="504">
        <f t="shared" ref="J102:J155" si="23">+I102-H102</f>
        <v>0</v>
      </c>
      <c r="K102" s="504"/>
      <c r="L102" s="506">
        <f t="shared" si="18"/>
        <v>230696.88883644732</v>
      </c>
      <c r="M102" s="504">
        <f t="shared" si="19"/>
        <v>0</v>
      </c>
      <c r="N102" s="506">
        <f t="shared" si="20"/>
        <v>230696.88883644732</v>
      </c>
      <c r="O102" s="504">
        <f>IF(N102&lt;&gt;0,+I102-N102,0)</f>
        <v>0</v>
      </c>
      <c r="P102" s="504">
        <f>+O102-M102</f>
        <v>0</v>
      </c>
      <c r="Q102" s="243"/>
      <c r="R102" s="243"/>
      <c r="S102" s="243"/>
      <c r="T102" s="243"/>
      <c r="U102" s="243"/>
    </row>
    <row r="103" spans="1:21">
      <c r="C103" s="495">
        <f>IF(D94="","-",+C102+1)</f>
        <v>2017</v>
      </c>
      <c r="D103" s="505">
        <v>1773143.0273846348</v>
      </c>
      <c r="E103" s="498">
        <v>46615.625249999997</v>
      </c>
      <c r="F103" s="505">
        <v>1726527.4021346348</v>
      </c>
      <c r="G103" s="498">
        <v>1749835.2147596348</v>
      </c>
      <c r="H103" s="499">
        <v>251934.05240160052</v>
      </c>
      <c r="I103" s="499">
        <v>251934.05240160052</v>
      </c>
      <c r="J103" s="504">
        <v>0</v>
      </c>
      <c r="K103" s="504"/>
      <c r="L103" s="506">
        <f t="shared" si="18"/>
        <v>251934.05240160052</v>
      </c>
      <c r="M103" s="504">
        <f t="shared" si="19"/>
        <v>0</v>
      </c>
      <c r="N103" s="506">
        <f t="shared" si="20"/>
        <v>251934.05240160052</v>
      </c>
      <c r="O103" s="504">
        <f>IF(N103&lt;&gt;0,+I103-N103,0)</f>
        <v>0</v>
      </c>
      <c r="P103" s="504">
        <f>+O103-M103</f>
        <v>0</v>
      </c>
      <c r="Q103" s="243"/>
      <c r="R103" s="243"/>
      <c r="S103" s="243"/>
      <c r="T103" s="243"/>
      <c r="U103" s="243"/>
    </row>
    <row r="104" spans="1:21">
      <c r="C104" s="495">
        <f>IF(D94="","-",+C103+1)</f>
        <v>2018</v>
      </c>
      <c r="D104" s="505">
        <v>1726527.4021346348</v>
      </c>
      <c r="E104" s="498">
        <v>51795.139166666668</v>
      </c>
      <c r="F104" s="505">
        <v>1674732.2629679681</v>
      </c>
      <c r="G104" s="498">
        <v>1700629.8325513015</v>
      </c>
      <c r="H104" s="499">
        <v>231317.7893017451</v>
      </c>
      <c r="I104" s="499">
        <v>231317.7893017451</v>
      </c>
      <c r="J104" s="504">
        <f t="shared" si="23"/>
        <v>0</v>
      </c>
      <c r="K104" s="504"/>
      <c r="L104" s="506">
        <f t="shared" si="18"/>
        <v>231317.7893017451</v>
      </c>
      <c r="M104" s="504">
        <f t="shared" si="19"/>
        <v>0</v>
      </c>
      <c r="N104" s="506">
        <f t="shared" si="20"/>
        <v>231317.7893017451</v>
      </c>
      <c r="O104" s="504">
        <f>IF(N104&lt;&gt;0,+I104-N104,0)</f>
        <v>0</v>
      </c>
      <c r="P104" s="504">
        <f>+O104-M104</f>
        <v>0</v>
      </c>
      <c r="Q104" s="243"/>
      <c r="R104" s="243"/>
      <c r="S104" s="243"/>
      <c r="T104" s="243"/>
      <c r="U104" s="243"/>
    </row>
    <row r="105" spans="1:21">
      <c r="C105" s="495">
        <f>IF(D94="","-",+C104+1)</f>
        <v>2019</v>
      </c>
      <c r="D105" s="505">
        <v>1674732.2629679681</v>
      </c>
      <c r="E105" s="498">
        <v>51795.139166666668</v>
      </c>
      <c r="F105" s="505">
        <v>1622937.1238013015</v>
      </c>
      <c r="G105" s="498">
        <v>1648834.6933846348</v>
      </c>
      <c r="H105" s="499">
        <v>225850.16755988394</v>
      </c>
      <c r="I105" s="499">
        <v>225850.16755988394</v>
      </c>
      <c r="J105" s="504">
        <f t="shared" si="23"/>
        <v>0</v>
      </c>
      <c r="K105" s="504"/>
      <c r="L105" s="506">
        <f t="shared" si="18"/>
        <v>225850.16755988394</v>
      </c>
      <c r="M105" s="504">
        <f t="shared" si="19"/>
        <v>0</v>
      </c>
      <c r="N105" s="506">
        <f t="shared" si="20"/>
        <v>225850.16755988394</v>
      </c>
      <c r="O105" s="504">
        <f t="shared" si="21"/>
        <v>0</v>
      </c>
      <c r="P105" s="504">
        <f t="shared" si="22"/>
        <v>0</v>
      </c>
      <c r="Q105" s="243"/>
      <c r="R105" s="243"/>
      <c r="S105" s="243"/>
      <c r="T105" s="243"/>
      <c r="U105" s="243"/>
    </row>
    <row r="106" spans="1:21">
      <c r="C106" s="495">
        <f>IF(D94="","-",+C105+1)</f>
        <v>2020</v>
      </c>
      <c r="D106" s="505">
        <v>1622937.1238013015</v>
      </c>
      <c r="E106" s="498">
        <v>66593.750357142853</v>
      </c>
      <c r="F106" s="505">
        <v>1556343.3734441586</v>
      </c>
      <c r="G106" s="498">
        <v>1589640.2486227299</v>
      </c>
      <c r="H106" s="499">
        <v>235752.93131710603</v>
      </c>
      <c r="I106" s="499">
        <v>235752.93131710603</v>
      </c>
      <c r="J106" s="504">
        <f t="shared" si="23"/>
        <v>0</v>
      </c>
      <c r="K106" s="504"/>
      <c r="L106" s="506">
        <f t="shared" si="18"/>
        <v>235752.93131710603</v>
      </c>
      <c r="M106" s="504">
        <f t="shared" si="19"/>
        <v>0</v>
      </c>
      <c r="N106" s="506">
        <f t="shared" si="20"/>
        <v>235752.93131710603</v>
      </c>
      <c r="O106" s="504">
        <f t="shared" si="21"/>
        <v>0</v>
      </c>
      <c r="P106" s="504">
        <f t="shared" si="22"/>
        <v>0</v>
      </c>
      <c r="Q106" s="243"/>
      <c r="R106" s="243"/>
      <c r="S106" s="243"/>
      <c r="T106" s="243"/>
      <c r="U106" s="243"/>
    </row>
    <row r="107" spans="1:21">
      <c r="C107" s="495">
        <f>IF(D94="","-",+C106+1)</f>
        <v>2021</v>
      </c>
      <c r="D107" s="349">
        <f>IF(F106+SUM(E$100:E106)=D$93,F106,D$93-SUM(E$100:E106))</f>
        <v>1556343.3734441586</v>
      </c>
      <c r="E107" s="509">
        <f t="shared" ref="E107:E155" si="24">IF(+$J$97&lt;F106,$J$97,D107)</f>
        <v>88791.667142857143</v>
      </c>
      <c r="F107" s="510">
        <f t="shared" ref="F107:F155" si="25">+D107-E107</f>
        <v>1467551.7063013015</v>
      </c>
      <c r="G107" s="510">
        <f t="shared" ref="G107:G155" si="26">+(F107+D107)/2</f>
        <v>1511947.5398727302</v>
      </c>
      <c r="H107" s="523">
        <f t="shared" ref="H107:H155" si="27">+J$95*G107+E107</f>
        <v>262300.9130162528</v>
      </c>
      <c r="I107" s="572">
        <f t="shared" ref="I107:I155" si="28">+J$96*G107+E107</f>
        <v>262300.9130162528</v>
      </c>
      <c r="J107" s="504">
        <f t="shared" si="23"/>
        <v>0</v>
      </c>
      <c r="K107" s="504"/>
      <c r="L107" s="512"/>
      <c r="M107" s="504">
        <f t="shared" ref="M107:M131" si="29">IF(L107&lt;&gt;0,+H107-L107,0)</f>
        <v>0</v>
      </c>
      <c r="N107" s="512"/>
      <c r="O107" s="504">
        <f t="shared" si="21"/>
        <v>0</v>
      </c>
      <c r="P107" s="504">
        <f t="shared" si="22"/>
        <v>0</v>
      </c>
      <c r="Q107" s="243"/>
      <c r="R107" s="243"/>
      <c r="S107" s="243"/>
      <c r="T107" s="243"/>
      <c r="U107" s="243"/>
    </row>
    <row r="108" spans="1:21">
      <c r="C108" s="495">
        <f>IF(D94="","-",+C107+1)</f>
        <v>2022</v>
      </c>
      <c r="D108" s="349">
        <f>IF(F107+SUM(E$100:E107)=D$93,F107,D$93-SUM(E$100:E107))</f>
        <v>1467551.7063013015</v>
      </c>
      <c r="E108" s="509">
        <f t="shared" si="24"/>
        <v>88791.667142857143</v>
      </c>
      <c r="F108" s="510">
        <f t="shared" si="25"/>
        <v>1378760.0391584444</v>
      </c>
      <c r="G108" s="510">
        <f t="shared" si="26"/>
        <v>1423155.8727298728</v>
      </c>
      <c r="H108" s="523">
        <f t="shared" si="27"/>
        <v>252111.29016260832</v>
      </c>
      <c r="I108" s="572">
        <f t="shared" si="28"/>
        <v>252111.29016260832</v>
      </c>
      <c r="J108" s="504">
        <f t="shared" si="23"/>
        <v>0</v>
      </c>
      <c r="K108" s="504"/>
      <c r="L108" s="512"/>
      <c r="M108" s="504">
        <f t="shared" si="29"/>
        <v>0</v>
      </c>
      <c r="N108" s="512"/>
      <c r="O108" s="504">
        <f t="shared" si="21"/>
        <v>0</v>
      </c>
      <c r="P108" s="504">
        <f t="shared" si="22"/>
        <v>0</v>
      </c>
      <c r="Q108" s="243"/>
      <c r="R108" s="243"/>
      <c r="S108" s="243"/>
      <c r="T108" s="243"/>
      <c r="U108" s="243"/>
    </row>
    <row r="109" spans="1:21">
      <c r="C109" s="495">
        <f>IF(D94="","-",+C108+1)</f>
        <v>2023</v>
      </c>
      <c r="D109" s="349">
        <f>IF(F108+SUM(E$100:E108)=D$93,F108,D$93-SUM(E$100:E108))</f>
        <v>1378760.0391584444</v>
      </c>
      <c r="E109" s="509">
        <f t="shared" si="24"/>
        <v>88791.667142857143</v>
      </c>
      <c r="F109" s="510">
        <f t="shared" si="25"/>
        <v>1289968.3720155873</v>
      </c>
      <c r="G109" s="510">
        <f t="shared" si="26"/>
        <v>1334364.205587016</v>
      </c>
      <c r="H109" s="523">
        <f t="shared" si="27"/>
        <v>241921.66730896389</v>
      </c>
      <c r="I109" s="572">
        <f t="shared" si="28"/>
        <v>241921.66730896389</v>
      </c>
      <c r="J109" s="504">
        <f t="shared" si="23"/>
        <v>0</v>
      </c>
      <c r="K109" s="504"/>
      <c r="L109" s="512"/>
      <c r="M109" s="504">
        <f t="shared" si="29"/>
        <v>0</v>
      </c>
      <c r="N109" s="512"/>
      <c r="O109" s="504">
        <f t="shared" si="21"/>
        <v>0</v>
      </c>
      <c r="P109" s="504">
        <f t="shared" si="22"/>
        <v>0</v>
      </c>
      <c r="Q109" s="243"/>
      <c r="R109" s="243"/>
      <c r="S109" s="243"/>
      <c r="T109" s="243"/>
      <c r="U109" s="243"/>
    </row>
    <row r="110" spans="1:21">
      <c r="C110" s="495">
        <f>IF(D94="","-",+C109+1)</f>
        <v>2024</v>
      </c>
      <c r="D110" s="349">
        <f>IF(F109+SUM(E$100:E109)=D$93,F109,D$93-SUM(E$100:E109))</f>
        <v>1289968.3720155873</v>
      </c>
      <c r="E110" s="509">
        <f t="shared" si="24"/>
        <v>88791.667142857143</v>
      </c>
      <c r="F110" s="510">
        <f t="shared" si="25"/>
        <v>1201176.7048727302</v>
      </c>
      <c r="G110" s="510">
        <f t="shared" si="26"/>
        <v>1245572.5384441586</v>
      </c>
      <c r="H110" s="523">
        <f t="shared" si="27"/>
        <v>231732.04445531935</v>
      </c>
      <c r="I110" s="572">
        <f t="shared" si="28"/>
        <v>231732.04445531935</v>
      </c>
      <c r="J110" s="504">
        <f t="shared" si="23"/>
        <v>0</v>
      </c>
      <c r="K110" s="504"/>
      <c r="L110" s="512"/>
      <c r="M110" s="504">
        <f t="shared" si="29"/>
        <v>0</v>
      </c>
      <c r="N110" s="512"/>
      <c r="O110" s="504">
        <f t="shared" si="21"/>
        <v>0</v>
      </c>
      <c r="P110" s="504">
        <f t="shared" si="22"/>
        <v>0</v>
      </c>
      <c r="Q110" s="243"/>
      <c r="R110" s="243"/>
      <c r="S110" s="243"/>
      <c r="T110" s="243"/>
      <c r="U110" s="243"/>
    </row>
    <row r="111" spans="1:21">
      <c r="C111" s="495">
        <f>IF(D94="","-",+C110+1)</f>
        <v>2025</v>
      </c>
      <c r="D111" s="349">
        <f>IF(F110+SUM(E$100:E110)=D$93,F110,D$93-SUM(E$100:E110))</f>
        <v>1201176.7048727302</v>
      </c>
      <c r="E111" s="509">
        <f t="shared" si="24"/>
        <v>88791.667142857143</v>
      </c>
      <c r="F111" s="510">
        <f t="shared" si="25"/>
        <v>1112385.0377298731</v>
      </c>
      <c r="G111" s="510">
        <f t="shared" si="26"/>
        <v>1156780.8713013018</v>
      </c>
      <c r="H111" s="523">
        <f t="shared" si="27"/>
        <v>221542.42160167493</v>
      </c>
      <c r="I111" s="572">
        <f t="shared" si="28"/>
        <v>221542.42160167493</v>
      </c>
      <c r="J111" s="504">
        <f t="shared" si="23"/>
        <v>0</v>
      </c>
      <c r="K111" s="504"/>
      <c r="L111" s="512"/>
      <c r="M111" s="504">
        <f t="shared" si="29"/>
        <v>0</v>
      </c>
      <c r="N111" s="512"/>
      <c r="O111" s="504">
        <f t="shared" si="21"/>
        <v>0</v>
      </c>
      <c r="P111" s="504">
        <f t="shared" si="22"/>
        <v>0</v>
      </c>
      <c r="Q111" s="243"/>
      <c r="R111" s="243"/>
      <c r="S111" s="243"/>
      <c r="T111" s="243"/>
      <c r="U111" s="243"/>
    </row>
    <row r="112" spans="1:21">
      <c r="C112" s="495">
        <f>IF(D94="","-",+C111+1)</f>
        <v>2026</v>
      </c>
      <c r="D112" s="349">
        <f>IF(F111+SUM(E$100:E111)=D$93,F111,D$93-SUM(E$100:E111))</f>
        <v>1112385.0377298731</v>
      </c>
      <c r="E112" s="509">
        <f t="shared" si="24"/>
        <v>88791.667142857143</v>
      </c>
      <c r="F112" s="510">
        <f t="shared" si="25"/>
        <v>1023593.370587016</v>
      </c>
      <c r="G112" s="510">
        <f t="shared" si="26"/>
        <v>1067989.2041584444</v>
      </c>
      <c r="H112" s="523">
        <f t="shared" si="27"/>
        <v>211352.79874803044</v>
      </c>
      <c r="I112" s="572">
        <f t="shared" si="28"/>
        <v>211352.79874803044</v>
      </c>
      <c r="J112" s="504">
        <f t="shared" si="23"/>
        <v>0</v>
      </c>
      <c r="K112" s="504"/>
      <c r="L112" s="512"/>
      <c r="M112" s="504">
        <f t="shared" si="29"/>
        <v>0</v>
      </c>
      <c r="N112" s="512"/>
      <c r="O112" s="504">
        <f t="shared" si="21"/>
        <v>0</v>
      </c>
      <c r="P112" s="504">
        <f t="shared" si="22"/>
        <v>0</v>
      </c>
      <c r="Q112" s="243"/>
      <c r="R112" s="243"/>
      <c r="S112" s="243"/>
      <c r="T112" s="243"/>
      <c r="U112" s="243"/>
    </row>
    <row r="113" spans="3:21">
      <c r="C113" s="495">
        <f>IF(D94="","-",+C112+1)</f>
        <v>2027</v>
      </c>
      <c r="D113" s="349">
        <f>IF(F112+SUM(E$100:E112)=D$93,F112,D$93-SUM(E$100:E112))</f>
        <v>1023593.370587016</v>
      </c>
      <c r="E113" s="509">
        <f t="shared" si="24"/>
        <v>88791.667142857143</v>
      </c>
      <c r="F113" s="510">
        <f t="shared" si="25"/>
        <v>934801.70344415889</v>
      </c>
      <c r="G113" s="510">
        <f t="shared" si="26"/>
        <v>979197.53701558744</v>
      </c>
      <c r="H113" s="523">
        <f t="shared" si="27"/>
        <v>201163.17589438599</v>
      </c>
      <c r="I113" s="572">
        <f t="shared" si="28"/>
        <v>201163.17589438599</v>
      </c>
      <c r="J113" s="504">
        <f t="shared" si="23"/>
        <v>0</v>
      </c>
      <c r="K113" s="504"/>
      <c r="L113" s="512"/>
      <c r="M113" s="504">
        <f t="shared" si="29"/>
        <v>0</v>
      </c>
      <c r="N113" s="512"/>
      <c r="O113" s="504">
        <f t="shared" si="21"/>
        <v>0</v>
      </c>
      <c r="P113" s="504">
        <f t="shared" si="22"/>
        <v>0</v>
      </c>
      <c r="Q113" s="243"/>
      <c r="R113" s="243"/>
      <c r="S113" s="243"/>
      <c r="T113" s="243"/>
      <c r="U113" s="243"/>
    </row>
    <row r="114" spans="3:21">
      <c r="C114" s="495">
        <f>IF(D94="","-",+C113+1)</f>
        <v>2028</v>
      </c>
      <c r="D114" s="349">
        <f>IF(F113+SUM(E$100:E113)=D$93,F113,D$93-SUM(E$100:E113))</f>
        <v>934801.70344415889</v>
      </c>
      <c r="E114" s="509">
        <f t="shared" si="24"/>
        <v>88791.667142857143</v>
      </c>
      <c r="F114" s="510">
        <f t="shared" si="25"/>
        <v>846010.03630130179</v>
      </c>
      <c r="G114" s="510">
        <f t="shared" si="26"/>
        <v>890405.86987273034</v>
      </c>
      <c r="H114" s="523">
        <f t="shared" si="27"/>
        <v>190973.55304074154</v>
      </c>
      <c r="I114" s="572">
        <f t="shared" si="28"/>
        <v>190973.55304074154</v>
      </c>
      <c r="J114" s="504">
        <f t="shared" si="23"/>
        <v>0</v>
      </c>
      <c r="K114" s="504"/>
      <c r="L114" s="512"/>
      <c r="M114" s="504">
        <f t="shared" si="29"/>
        <v>0</v>
      </c>
      <c r="N114" s="512"/>
      <c r="O114" s="504">
        <f t="shared" si="21"/>
        <v>0</v>
      </c>
      <c r="P114" s="504">
        <f t="shared" si="22"/>
        <v>0</v>
      </c>
      <c r="Q114" s="243"/>
      <c r="R114" s="243"/>
      <c r="S114" s="243"/>
      <c r="T114" s="243"/>
      <c r="U114" s="243"/>
    </row>
    <row r="115" spans="3:21">
      <c r="C115" s="495">
        <f>IF(D94="","-",+C114+1)</f>
        <v>2029</v>
      </c>
      <c r="D115" s="349">
        <f>IF(F114+SUM(E$100:E114)=D$93,F114,D$93-SUM(E$100:E114))</f>
        <v>846010.03630130179</v>
      </c>
      <c r="E115" s="509">
        <f t="shared" si="24"/>
        <v>88791.667142857143</v>
      </c>
      <c r="F115" s="510">
        <f t="shared" si="25"/>
        <v>757218.36915844469</v>
      </c>
      <c r="G115" s="510">
        <f t="shared" si="26"/>
        <v>801614.20272987324</v>
      </c>
      <c r="H115" s="523">
        <f t="shared" si="27"/>
        <v>180783.93018709705</v>
      </c>
      <c r="I115" s="572">
        <f t="shared" si="28"/>
        <v>180783.93018709705</v>
      </c>
      <c r="J115" s="504">
        <f t="shared" si="23"/>
        <v>0</v>
      </c>
      <c r="K115" s="504"/>
      <c r="L115" s="512"/>
      <c r="M115" s="504">
        <f t="shared" si="29"/>
        <v>0</v>
      </c>
      <c r="N115" s="512"/>
      <c r="O115" s="504">
        <f t="shared" si="21"/>
        <v>0</v>
      </c>
      <c r="P115" s="504">
        <f t="shared" si="22"/>
        <v>0</v>
      </c>
      <c r="Q115" s="243"/>
      <c r="R115" s="243"/>
      <c r="S115" s="243"/>
      <c r="T115" s="243"/>
      <c r="U115" s="243"/>
    </row>
    <row r="116" spans="3:21">
      <c r="C116" s="495">
        <f>IF(D94="","-",+C115+1)</f>
        <v>2030</v>
      </c>
      <c r="D116" s="349">
        <f>IF(F115+SUM(E$100:E115)=D$93,F115,D$93-SUM(E$100:E115))</f>
        <v>757218.36915844469</v>
      </c>
      <c r="E116" s="509">
        <f t="shared" si="24"/>
        <v>88791.667142857143</v>
      </c>
      <c r="F116" s="510">
        <f t="shared" si="25"/>
        <v>668426.70201558759</v>
      </c>
      <c r="G116" s="510">
        <f t="shared" si="26"/>
        <v>712822.53558701614</v>
      </c>
      <c r="H116" s="523">
        <f t="shared" si="27"/>
        <v>170594.3073334526</v>
      </c>
      <c r="I116" s="572">
        <f t="shared" si="28"/>
        <v>170594.3073334526</v>
      </c>
      <c r="J116" s="504">
        <f t="shared" si="23"/>
        <v>0</v>
      </c>
      <c r="K116" s="504"/>
      <c r="L116" s="512"/>
      <c r="M116" s="504">
        <f t="shared" si="29"/>
        <v>0</v>
      </c>
      <c r="N116" s="512"/>
      <c r="O116" s="504">
        <f t="shared" si="21"/>
        <v>0</v>
      </c>
      <c r="P116" s="504">
        <f t="shared" si="22"/>
        <v>0</v>
      </c>
      <c r="Q116" s="243"/>
      <c r="R116" s="243"/>
      <c r="S116" s="243"/>
      <c r="T116" s="243"/>
      <c r="U116" s="243"/>
    </row>
    <row r="117" spans="3:21">
      <c r="C117" s="495">
        <f>IF(D94="","-",+C116+1)</f>
        <v>2031</v>
      </c>
      <c r="D117" s="349">
        <f>IF(F116+SUM(E$100:E116)=D$93,F116,D$93-SUM(E$100:E116))</f>
        <v>668426.70201558759</v>
      </c>
      <c r="E117" s="509">
        <f t="shared" si="24"/>
        <v>88791.667142857143</v>
      </c>
      <c r="F117" s="510">
        <f t="shared" si="25"/>
        <v>579635.0348727305</v>
      </c>
      <c r="G117" s="510">
        <f t="shared" si="26"/>
        <v>624030.86844415904</v>
      </c>
      <c r="H117" s="523">
        <f t="shared" si="27"/>
        <v>160404.68447980814</v>
      </c>
      <c r="I117" s="572">
        <f t="shared" si="28"/>
        <v>160404.68447980814</v>
      </c>
      <c r="J117" s="504">
        <f t="shared" si="23"/>
        <v>0</v>
      </c>
      <c r="K117" s="504"/>
      <c r="L117" s="512"/>
      <c r="M117" s="504">
        <f t="shared" si="29"/>
        <v>0</v>
      </c>
      <c r="N117" s="512"/>
      <c r="O117" s="504">
        <f t="shared" si="21"/>
        <v>0</v>
      </c>
      <c r="P117" s="504">
        <f t="shared" si="22"/>
        <v>0</v>
      </c>
      <c r="Q117" s="243"/>
      <c r="R117" s="243"/>
      <c r="S117" s="243"/>
      <c r="T117" s="243"/>
      <c r="U117" s="243"/>
    </row>
    <row r="118" spans="3:21">
      <c r="C118" s="495">
        <f>IF(D94="","-",+C117+1)</f>
        <v>2032</v>
      </c>
      <c r="D118" s="349">
        <f>IF(F117+SUM(E$100:E117)=D$93,F117,D$93-SUM(E$100:E117))</f>
        <v>579635.0348727305</v>
      </c>
      <c r="E118" s="509">
        <f t="shared" si="24"/>
        <v>88791.667142857143</v>
      </c>
      <c r="F118" s="510">
        <f t="shared" si="25"/>
        <v>490843.36772987334</v>
      </c>
      <c r="G118" s="510">
        <f t="shared" si="26"/>
        <v>535239.20130130195</v>
      </c>
      <c r="H118" s="523">
        <f t="shared" si="27"/>
        <v>150215.06162616366</v>
      </c>
      <c r="I118" s="572">
        <f t="shared" si="28"/>
        <v>150215.06162616366</v>
      </c>
      <c r="J118" s="504">
        <f t="shared" si="23"/>
        <v>0</v>
      </c>
      <c r="K118" s="504"/>
      <c r="L118" s="512"/>
      <c r="M118" s="504">
        <f t="shared" si="29"/>
        <v>0</v>
      </c>
      <c r="N118" s="512"/>
      <c r="O118" s="504">
        <f t="shared" si="21"/>
        <v>0</v>
      </c>
      <c r="P118" s="504">
        <f t="shared" si="22"/>
        <v>0</v>
      </c>
      <c r="Q118" s="243"/>
      <c r="R118" s="243"/>
      <c r="S118" s="243"/>
      <c r="T118" s="243"/>
      <c r="U118" s="243"/>
    </row>
    <row r="119" spans="3:21">
      <c r="C119" s="495">
        <f>IF(D94="","-",+C118+1)</f>
        <v>2033</v>
      </c>
      <c r="D119" s="349">
        <f>IF(F118+SUM(E$100:E118)=D$93,F118,D$93-SUM(E$100:E118))</f>
        <v>490843.36772987334</v>
      </c>
      <c r="E119" s="509">
        <f t="shared" si="24"/>
        <v>88791.667142857143</v>
      </c>
      <c r="F119" s="510">
        <f t="shared" si="25"/>
        <v>402051.70058701618</v>
      </c>
      <c r="G119" s="510">
        <f t="shared" si="26"/>
        <v>446447.53415844473</v>
      </c>
      <c r="H119" s="523">
        <f t="shared" si="27"/>
        <v>140025.43877251918</v>
      </c>
      <c r="I119" s="572">
        <f t="shared" si="28"/>
        <v>140025.43877251918</v>
      </c>
      <c r="J119" s="504">
        <f t="shared" si="23"/>
        <v>0</v>
      </c>
      <c r="K119" s="504"/>
      <c r="L119" s="512"/>
      <c r="M119" s="504">
        <f t="shared" si="29"/>
        <v>0</v>
      </c>
      <c r="N119" s="512"/>
      <c r="O119" s="504">
        <f t="shared" si="21"/>
        <v>0</v>
      </c>
      <c r="P119" s="504">
        <f t="shared" si="22"/>
        <v>0</v>
      </c>
      <c r="Q119" s="243"/>
      <c r="R119" s="243"/>
      <c r="S119" s="243"/>
      <c r="T119" s="243"/>
      <c r="U119" s="243"/>
    </row>
    <row r="120" spans="3:21">
      <c r="C120" s="495">
        <f>IF(D94="","-",+C119+1)</f>
        <v>2034</v>
      </c>
      <c r="D120" s="349">
        <f>IF(F119+SUM(E$100:E119)=D$93,F119,D$93-SUM(E$100:E119))</f>
        <v>402051.70058701618</v>
      </c>
      <c r="E120" s="509">
        <f t="shared" si="24"/>
        <v>88791.667142857143</v>
      </c>
      <c r="F120" s="510">
        <f t="shared" si="25"/>
        <v>313260.03344415902</v>
      </c>
      <c r="G120" s="510">
        <f t="shared" si="26"/>
        <v>357655.86701558763</v>
      </c>
      <c r="H120" s="523">
        <f t="shared" si="27"/>
        <v>129835.81591887472</v>
      </c>
      <c r="I120" s="572">
        <f t="shared" si="28"/>
        <v>129835.81591887472</v>
      </c>
      <c r="J120" s="504">
        <f t="shared" si="23"/>
        <v>0</v>
      </c>
      <c r="K120" s="504"/>
      <c r="L120" s="512"/>
      <c r="M120" s="504">
        <f t="shared" si="29"/>
        <v>0</v>
      </c>
      <c r="N120" s="512"/>
      <c r="O120" s="504">
        <f t="shared" si="21"/>
        <v>0</v>
      </c>
      <c r="P120" s="504">
        <f t="shared" si="22"/>
        <v>0</v>
      </c>
      <c r="Q120" s="243"/>
      <c r="R120" s="243"/>
      <c r="S120" s="243"/>
      <c r="T120" s="243"/>
      <c r="U120" s="243"/>
    </row>
    <row r="121" spans="3:21">
      <c r="C121" s="495">
        <f>IF(D94="","-",+C120+1)</f>
        <v>2035</v>
      </c>
      <c r="D121" s="349">
        <f>IF(F120+SUM(E$100:E120)=D$93,F120,D$93-SUM(E$100:E120))</f>
        <v>313260.03344415902</v>
      </c>
      <c r="E121" s="509">
        <f t="shared" si="24"/>
        <v>88791.667142857143</v>
      </c>
      <c r="F121" s="510">
        <f t="shared" si="25"/>
        <v>224468.36630130187</v>
      </c>
      <c r="G121" s="510">
        <f t="shared" si="26"/>
        <v>268864.19987273042</v>
      </c>
      <c r="H121" s="523">
        <f t="shared" si="27"/>
        <v>119646.19306523024</v>
      </c>
      <c r="I121" s="572">
        <f t="shared" si="28"/>
        <v>119646.19306523024</v>
      </c>
      <c r="J121" s="504">
        <f t="shared" si="23"/>
        <v>0</v>
      </c>
      <c r="K121" s="504"/>
      <c r="L121" s="512"/>
      <c r="M121" s="504">
        <f t="shared" si="29"/>
        <v>0</v>
      </c>
      <c r="N121" s="512"/>
      <c r="O121" s="504">
        <f t="shared" si="21"/>
        <v>0</v>
      </c>
      <c r="P121" s="504">
        <f t="shared" si="22"/>
        <v>0</v>
      </c>
      <c r="Q121" s="243"/>
      <c r="R121" s="243"/>
      <c r="S121" s="243"/>
      <c r="T121" s="243"/>
      <c r="U121" s="243"/>
    </row>
    <row r="122" spans="3:21">
      <c r="C122" s="495">
        <f>IF(D94="","-",+C121+1)</f>
        <v>2036</v>
      </c>
      <c r="D122" s="349">
        <f>IF(F121+SUM(E$100:E121)=D$93,F121,D$93-SUM(E$100:E121))</f>
        <v>224468.36630130187</v>
      </c>
      <c r="E122" s="509">
        <f t="shared" si="24"/>
        <v>88791.667142857143</v>
      </c>
      <c r="F122" s="510">
        <f t="shared" si="25"/>
        <v>135676.69915844471</v>
      </c>
      <c r="G122" s="510">
        <f t="shared" si="26"/>
        <v>180072.53272987329</v>
      </c>
      <c r="H122" s="523">
        <f t="shared" si="27"/>
        <v>109456.57021158576</v>
      </c>
      <c r="I122" s="572">
        <f t="shared" si="28"/>
        <v>109456.57021158576</v>
      </c>
      <c r="J122" s="504">
        <f t="shared" si="23"/>
        <v>0</v>
      </c>
      <c r="K122" s="504"/>
      <c r="L122" s="512"/>
      <c r="M122" s="504">
        <f t="shared" si="29"/>
        <v>0</v>
      </c>
      <c r="N122" s="512"/>
      <c r="O122" s="504">
        <f t="shared" si="21"/>
        <v>0</v>
      </c>
      <c r="P122" s="504">
        <f t="shared" si="22"/>
        <v>0</v>
      </c>
      <c r="Q122" s="243"/>
      <c r="R122" s="243"/>
      <c r="S122" s="243"/>
      <c r="T122" s="243"/>
      <c r="U122" s="243"/>
    </row>
    <row r="123" spans="3:21">
      <c r="C123" s="495">
        <f>IF(D94="","-",+C122+1)</f>
        <v>2037</v>
      </c>
      <c r="D123" s="349">
        <f>IF(F122+SUM(E$100:E122)=D$93,F122,D$93-SUM(E$100:E122))</f>
        <v>135676.69915844471</v>
      </c>
      <c r="E123" s="509">
        <f t="shared" si="24"/>
        <v>88791.667142857143</v>
      </c>
      <c r="F123" s="510">
        <f t="shared" si="25"/>
        <v>46885.032015587567</v>
      </c>
      <c r="G123" s="510">
        <f t="shared" si="26"/>
        <v>91280.865587016131</v>
      </c>
      <c r="H123" s="523">
        <f t="shared" si="27"/>
        <v>99266.947357941288</v>
      </c>
      <c r="I123" s="572">
        <f t="shared" si="28"/>
        <v>99266.947357941288</v>
      </c>
      <c r="J123" s="504">
        <f t="shared" si="23"/>
        <v>0</v>
      </c>
      <c r="K123" s="504"/>
      <c r="L123" s="512"/>
      <c r="M123" s="504">
        <f t="shared" si="29"/>
        <v>0</v>
      </c>
      <c r="N123" s="512"/>
      <c r="O123" s="504">
        <f t="shared" si="21"/>
        <v>0</v>
      </c>
      <c r="P123" s="504">
        <f t="shared" si="22"/>
        <v>0</v>
      </c>
      <c r="Q123" s="243"/>
      <c r="R123" s="243"/>
      <c r="S123" s="243"/>
      <c r="T123" s="243"/>
      <c r="U123" s="243"/>
    </row>
    <row r="124" spans="3:21">
      <c r="C124" s="495">
        <f>IF(D94="","-",+C123+1)</f>
        <v>2038</v>
      </c>
      <c r="D124" s="349">
        <f>IF(F123+SUM(E$100:E123)=D$93,F123,D$93-SUM(E$100:E123))</f>
        <v>46885.032015587567</v>
      </c>
      <c r="E124" s="509">
        <f t="shared" si="24"/>
        <v>46885.032015587567</v>
      </c>
      <c r="F124" s="510">
        <f t="shared" si="25"/>
        <v>0</v>
      </c>
      <c r="G124" s="510">
        <f t="shared" si="26"/>
        <v>23442.516007793784</v>
      </c>
      <c r="H124" s="523">
        <f t="shared" si="27"/>
        <v>49575.266409718526</v>
      </c>
      <c r="I124" s="572">
        <f t="shared" si="28"/>
        <v>49575.266409718526</v>
      </c>
      <c r="J124" s="504">
        <f t="shared" si="23"/>
        <v>0</v>
      </c>
      <c r="K124" s="504"/>
      <c r="L124" s="512"/>
      <c r="M124" s="504">
        <f t="shared" si="29"/>
        <v>0</v>
      </c>
      <c r="N124" s="512"/>
      <c r="O124" s="504">
        <f t="shared" si="21"/>
        <v>0</v>
      </c>
      <c r="P124" s="504">
        <f t="shared" si="22"/>
        <v>0</v>
      </c>
      <c r="Q124" s="243"/>
      <c r="R124" s="243"/>
      <c r="S124" s="243"/>
      <c r="T124" s="243"/>
      <c r="U124" s="243"/>
    </row>
    <row r="125" spans="3:21">
      <c r="C125" s="495">
        <f>IF(D94="","-",+C124+1)</f>
        <v>2039</v>
      </c>
      <c r="D125" s="349">
        <f>IF(F124+SUM(E$100:E124)=D$93,F124,D$93-SUM(E$100:E124))</f>
        <v>0</v>
      </c>
      <c r="E125" s="509">
        <f t="shared" si="24"/>
        <v>0</v>
      </c>
      <c r="F125" s="510">
        <f t="shared" si="25"/>
        <v>0</v>
      </c>
      <c r="G125" s="510">
        <f t="shared" si="26"/>
        <v>0</v>
      </c>
      <c r="H125" s="523">
        <f t="shared" si="27"/>
        <v>0</v>
      </c>
      <c r="I125" s="572">
        <f t="shared" si="28"/>
        <v>0</v>
      </c>
      <c r="J125" s="504">
        <f t="shared" si="23"/>
        <v>0</v>
      </c>
      <c r="K125" s="504"/>
      <c r="L125" s="512"/>
      <c r="M125" s="504">
        <f t="shared" si="29"/>
        <v>0</v>
      </c>
      <c r="N125" s="512"/>
      <c r="O125" s="504">
        <f t="shared" si="21"/>
        <v>0</v>
      </c>
      <c r="P125" s="504">
        <f t="shared" si="22"/>
        <v>0</v>
      </c>
      <c r="Q125" s="243"/>
      <c r="R125" s="243"/>
      <c r="S125" s="243"/>
      <c r="T125" s="243"/>
      <c r="U125" s="243"/>
    </row>
    <row r="126" spans="3:21">
      <c r="C126" s="495">
        <f>IF(D94="","-",+C125+1)</f>
        <v>2040</v>
      </c>
      <c r="D126" s="349">
        <f>IF(F125+SUM(E$100:E125)=D$93,F125,D$93-SUM(E$100:E125))</f>
        <v>0</v>
      </c>
      <c r="E126" s="509">
        <f t="shared" si="24"/>
        <v>0</v>
      </c>
      <c r="F126" s="510">
        <f t="shared" si="25"/>
        <v>0</v>
      </c>
      <c r="G126" s="510">
        <f t="shared" si="26"/>
        <v>0</v>
      </c>
      <c r="H126" s="523">
        <f t="shared" si="27"/>
        <v>0</v>
      </c>
      <c r="I126" s="572">
        <f t="shared" si="28"/>
        <v>0</v>
      </c>
      <c r="J126" s="504">
        <f t="shared" si="23"/>
        <v>0</v>
      </c>
      <c r="K126" s="504"/>
      <c r="L126" s="512"/>
      <c r="M126" s="504">
        <f t="shared" si="29"/>
        <v>0</v>
      </c>
      <c r="N126" s="512"/>
      <c r="O126" s="504">
        <f t="shared" si="21"/>
        <v>0</v>
      </c>
      <c r="P126" s="504">
        <f t="shared" si="22"/>
        <v>0</v>
      </c>
      <c r="Q126" s="243"/>
      <c r="R126" s="243"/>
      <c r="S126" s="243"/>
      <c r="T126" s="243"/>
      <c r="U126" s="243"/>
    </row>
    <row r="127" spans="3:21">
      <c r="C127" s="495">
        <f>IF(D94="","-",+C126+1)</f>
        <v>2041</v>
      </c>
      <c r="D127" s="349">
        <f>IF(F126+SUM(E$100:E126)=D$93,F126,D$93-SUM(E$100:E126))</f>
        <v>0</v>
      </c>
      <c r="E127" s="509">
        <f t="shared" si="24"/>
        <v>0</v>
      </c>
      <c r="F127" s="510">
        <f t="shared" si="25"/>
        <v>0</v>
      </c>
      <c r="G127" s="510">
        <f t="shared" si="26"/>
        <v>0</v>
      </c>
      <c r="H127" s="523">
        <f t="shared" si="27"/>
        <v>0</v>
      </c>
      <c r="I127" s="572">
        <f t="shared" si="28"/>
        <v>0</v>
      </c>
      <c r="J127" s="504">
        <f t="shared" si="23"/>
        <v>0</v>
      </c>
      <c r="K127" s="504"/>
      <c r="L127" s="512"/>
      <c r="M127" s="504">
        <f t="shared" si="29"/>
        <v>0</v>
      </c>
      <c r="N127" s="512"/>
      <c r="O127" s="504">
        <f t="shared" si="21"/>
        <v>0</v>
      </c>
      <c r="P127" s="504">
        <f t="shared" si="22"/>
        <v>0</v>
      </c>
      <c r="Q127" s="243"/>
      <c r="R127" s="243"/>
      <c r="S127" s="243"/>
      <c r="T127" s="243"/>
      <c r="U127" s="243"/>
    </row>
    <row r="128" spans="3:21">
      <c r="C128" s="495">
        <f>IF(D94="","-",+C127+1)</f>
        <v>2042</v>
      </c>
      <c r="D128" s="349">
        <f>IF(F127+SUM(E$100:E127)=D$93,F127,D$93-SUM(E$100:E127))</f>
        <v>0</v>
      </c>
      <c r="E128" s="509">
        <f t="shared" si="24"/>
        <v>0</v>
      </c>
      <c r="F128" s="510">
        <f t="shared" si="25"/>
        <v>0</v>
      </c>
      <c r="G128" s="510">
        <f t="shared" si="26"/>
        <v>0</v>
      </c>
      <c r="H128" s="523">
        <f t="shared" si="27"/>
        <v>0</v>
      </c>
      <c r="I128" s="572">
        <f t="shared" si="28"/>
        <v>0</v>
      </c>
      <c r="J128" s="504">
        <f t="shared" si="23"/>
        <v>0</v>
      </c>
      <c r="K128" s="504"/>
      <c r="L128" s="512"/>
      <c r="M128" s="504">
        <f t="shared" si="29"/>
        <v>0</v>
      </c>
      <c r="N128" s="512"/>
      <c r="O128" s="504">
        <f t="shared" si="21"/>
        <v>0</v>
      </c>
      <c r="P128" s="504">
        <f t="shared" si="22"/>
        <v>0</v>
      </c>
      <c r="Q128" s="243"/>
      <c r="R128" s="243"/>
      <c r="S128" s="243"/>
      <c r="T128" s="243"/>
      <c r="U128" s="243"/>
    </row>
    <row r="129" spans="3:21">
      <c r="C129" s="495">
        <f>IF(D94="","-",+C128+1)</f>
        <v>2043</v>
      </c>
      <c r="D129" s="349">
        <f>IF(F128+SUM(E$100:E128)=D$93,F128,D$93-SUM(E$100:E128))</f>
        <v>0</v>
      </c>
      <c r="E129" s="509">
        <f t="shared" si="24"/>
        <v>0</v>
      </c>
      <c r="F129" s="510">
        <f t="shared" si="25"/>
        <v>0</v>
      </c>
      <c r="G129" s="510">
        <f t="shared" si="26"/>
        <v>0</v>
      </c>
      <c r="H129" s="523">
        <f t="shared" si="27"/>
        <v>0</v>
      </c>
      <c r="I129" s="572">
        <f t="shared" si="28"/>
        <v>0</v>
      </c>
      <c r="J129" s="504">
        <f t="shared" si="23"/>
        <v>0</v>
      </c>
      <c r="K129" s="504"/>
      <c r="L129" s="512"/>
      <c r="M129" s="504">
        <f t="shared" si="29"/>
        <v>0</v>
      </c>
      <c r="N129" s="512"/>
      <c r="O129" s="504">
        <f t="shared" si="21"/>
        <v>0</v>
      </c>
      <c r="P129" s="504">
        <f t="shared" si="22"/>
        <v>0</v>
      </c>
      <c r="Q129" s="243"/>
      <c r="R129" s="243"/>
      <c r="S129" s="243"/>
      <c r="T129" s="243"/>
      <c r="U129" s="243"/>
    </row>
    <row r="130" spans="3:21">
      <c r="C130" s="495">
        <f>IF(D94="","-",+C129+1)</f>
        <v>2044</v>
      </c>
      <c r="D130" s="349">
        <f>IF(F129+SUM(E$100:E129)=D$93,F129,D$93-SUM(E$100:E129))</f>
        <v>0</v>
      </c>
      <c r="E130" s="509">
        <f t="shared" si="24"/>
        <v>0</v>
      </c>
      <c r="F130" s="510">
        <f t="shared" si="25"/>
        <v>0</v>
      </c>
      <c r="G130" s="510">
        <f t="shared" si="26"/>
        <v>0</v>
      </c>
      <c r="H130" s="523">
        <f t="shared" si="27"/>
        <v>0</v>
      </c>
      <c r="I130" s="572">
        <f t="shared" si="28"/>
        <v>0</v>
      </c>
      <c r="J130" s="504">
        <f t="shared" si="23"/>
        <v>0</v>
      </c>
      <c r="K130" s="504"/>
      <c r="L130" s="512"/>
      <c r="M130" s="504">
        <f t="shared" si="29"/>
        <v>0</v>
      </c>
      <c r="N130" s="512"/>
      <c r="O130" s="504">
        <f t="shared" si="21"/>
        <v>0</v>
      </c>
      <c r="P130" s="504">
        <f t="shared" si="22"/>
        <v>0</v>
      </c>
      <c r="Q130" s="243"/>
      <c r="R130" s="243"/>
      <c r="S130" s="243"/>
      <c r="T130" s="243"/>
      <c r="U130" s="243"/>
    </row>
    <row r="131" spans="3:21">
      <c r="C131" s="495">
        <f>IF(D94="","-",+C130+1)</f>
        <v>2045</v>
      </c>
      <c r="D131" s="349">
        <f>IF(F130+SUM(E$100:E130)=D$93,F130,D$93-SUM(E$100:E130))</f>
        <v>0</v>
      </c>
      <c r="E131" s="509">
        <f t="shared" si="24"/>
        <v>0</v>
      </c>
      <c r="F131" s="510">
        <f t="shared" si="25"/>
        <v>0</v>
      </c>
      <c r="G131" s="510">
        <f t="shared" si="26"/>
        <v>0</v>
      </c>
      <c r="H131" s="523">
        <f t="shared" si="27"/>
        <v>0</v>
      </c>
      <c r="I131" s="572">
        <f t="shared" si="28"/>
        <v>0</v>
      </c>
      <c r="J131" s="504">
        <f t="shared" si="23"/>
        <v>0</v>
      </c>
      <c r="K131" s="504"/>
      <c r="L131" s="512"/>
      <c r="M131" s="504">
        <f t="shared" si="29"/>
        <v>0</v>
      </c>
      <c r="N131" s="512"/>
      <c r="O131" s="504">
        <f t="shared" si="21"/>
        <v>0</v>
      </c>
      <c r="P131" s="504">
        <f t="shared" si="22"/>
        <v>0</v>
      </c>
      <c r="Q131" s="243"/>
      <c r="R131" s="243"/>
      <c r="S131" s="243"/>
      <c r="T131" s="243"/>
      <c r="U131" s="243"/>
    </row>
    <row r="132" spans="3:21">
      <c r="C132" s="495">
        <f>IF(D94="","-",+C131+1)</f>
        <v>2046</v>
      </c>
      <c r="D132" s="349">
        <f>IF(F131+SUM(E$100:E131)=D$93,F131,D$93-SUM(E$100:E131))</f>
        <v>0</v>
      </c>
      <c r="E132" s="509">
        <f t="shared" si="24"/>
        <v>0</v>
      </c>
      <c r="F132" s="510">
        <f t="shared" si="25"/>
        <v>0</v>
      </c>
      <c r="G132" s="510">
        <f t="shared" si="26"/>
        <v>0</v>
      </c>
      <c r="H132" s="523">
        <f t="shared" si="27"/>
        <v>0</v>
      </c>
      <c r="I132" s="572">
        <f t="shared" si="28"/>
        <v>0</v>
      </c>
      <c r="J132" s="504">
        <f t="shared" si="23"/>
        <v>0</v>
      </c>
      <c r="K132" s="504"/>
      <c r="L132" s="512"/>
      <c r="M132" s="504">
        <f t="shared" ref="M132:M155" si="30">IF(L542&lt;&gt;0,+H542-L542,0)</f>
        <v>0</v>
      </c>
      <c r="N132" s="512"/>
      <c r="O132" s="504">
        <f t="shared" ref="O132:O155" si="31">IF(N542&lt;&gt;0,+I542-N542,0)</f>
        <v>0</v>
      </c>
      <c r="P132" s="504">
        <f t="shared" ref="P132:P155" si="32">+O542-M542</f>
        <v>0</v>
      </c>
      <c r="Q132" s="243"/>
      <c r="R132" s="243"/>
      <c r="S132" s="243"/>
      <c r="T132" s="243"/>
      <c r="U132" s="243"/>
    </row>
    <row r="133" spans="3:21">
      <c r="C133" s="495">
        <f>IF(D94="","-",+C132+1)</f>
        <v>2047</v>
      </c>
      <c r="D133" s="349">
        <f>IF(F132+SUM(E$100:E132)=D$93,F132,D$93-SUM(E$100:E132))</f>
        <v>0</v>
      </c>
      <c r="E133" s="509">
        <f t="shared" si="24"/>
        <v>0</v>
      </c>
      <c r="F133" s="510">
        <f t="shared" si="25"/>
        <v>0</v>
      </c>
      <c r="G133" s="510">
        <f t="shared" si="26"/>
        <v>0</v>
      </c>
      <c r="H133" s="523">
        <f t="shared" si="27"/>
        <v>0</v>
      </c>
      <c r="I133" s="572">
        <f t="shared" si="28"/>
        <v>0</v>
      </c>
      <c r="J133" s="504">
        <f t="shared" si="23"/>
        <v>0</v>
      </c>
      <c r="K133" s="504"/>
      <c r="L133" s="512"/>
      <c r="M133" s="504">
        <f t="shared" si="30"/>
        <v>0</v>
      </c>
      <c r="N133" s="512"/>
      <c r="O133" s="504">
        <f t="shared" si="31"/>
        <v>0</v>
      </c>
      <c r="P133" s="504">
        <f t="shared" si="32"/>
        <v>0</v>
      </c>
      <c r="Q133" s="243"/>
      <c r="R133" s="243"/>
      <c r="S133" s="243"/>
      <c r="T133" s="243"/>
      <c r="U133" s="243"/>
    </row>
    <row r="134" spans="3:21">
      <c r="C134" s="495">
        <f>IF(D94="","-",+C133+1)</f>
        <v>2048</v>
      </c>
      <c r="D134" s="349">
        <f>IF(F133+SUM(E$100:E133)=D$93,F133,D$93-SUM(E$100:E133))</f>
        <v>0</v>
      </c>
      <c r="E134" s="509">
        <f t="shared" si="24"/>
        <v>0</v>
      </c>
      <c r="F134" s="510">
        <f t="shared" si="25"/>
        <v>0</v>
      </c>
      <c r="G134" s="510">
        <f t="shared" si="26"/>
        <v>0</v>
      </c>
      <c r="H134" s="523">
        <f t="shared" si="27"/>
        <v>0</v>
      </c>
      <c r="I134" s="572">
        <f t="shared" si="28"/>
        <v>0</v>
      </c>
      <c r="J134" s="504">
        <f t="shared" si="23"/>
        <v>0</v>
      </c>
      <c r="K134" s="504"/>
      <c r="L134" s="512"/>
      <c r="M134" s="504">
        <f t="shared" si="30"/>
        <v>0</v>
      </c>
      <c r="N134" s="512"/>
      <c r="O134" s="504">
        <f t="shared" si="31"/>
        <v>0</v>
      </c>
      <c r="P134" s="504">
        <f t="shared" si="32"/>
        <v>0</v>
      </c>
      <c r="Q134" s="243"/>
      <c r="R134" s="243"/>
      <c r="S134" s="243"/>
      <c r="T134" s="243"/>
      <c r="U134" s="243"/>
    </row>
    <row r="135" spans="3:21">
      <c r="C135" s="495">
        <f>IF(D94="","-",+C134+1)</f>
        <v>2049</v>
      </c>
      <c r="D135" s="349">
        <f>IF(F134+SUM(E$100:E134)=D$93,F134,D$93-SUM(E$100:E134))</f>
        <v>0</v>
      </c>
      <c r="E135" s="509">
        <f t="shared" si="24"/>
        <v>0</v>
      </c>
      <c r="F135" s="510">
        <f t="shared" si="25"/>
        <v>0</v>
      </c>
      <c r="G135" s="510">
        <f t="shared" si="26"/>
        <v>0</v>
      </c>
      <c r="H135" s="523">
        <f t="shared" si="27"/>
        <v>0</v>
      </c>
      <c r="I135" s="572">
        <f t="shared" si="28"/>
        <v>0</v>
      </c>
      <c r="J135" s="504">
        <f t="shared" si="23"/>
        <v>0</v>
      </c>
      <c r="K135" s="504"/>
      <c r="L135" s="512"/>
      <c r="M135" s="504">
        <f t="shared" si="30"/>
        <v>0</v>
      </c>
      <c r="N135" s="512"/>
      <c r="O135" s="504">
        <f t="shared" si="31"/>
        <v>0</v>
      </c>
      <c r="P135" s="504">
        <f t="shared" si="32"/>
        <v>0</v>
      </c>
      <c r="Q135" s="243"/>
      <c r="R135" s="243"/>
      <c r="S135" s="243"/>
      <c r="T135" s="243"/>
      <c r="U135" s="243"/>
    </row>
    <row r="136" spans="3:21">
      <c r="C136" s="495">
        <f>IF(D94="","-",+C135+1)</f>
        <v>2050</v>
      </c>
      <c r="D136" s="349">
        <f>IF(F135+SUM(E$100:E135)=D$93,F135,D$93-SUM(E$100:E135))</f>
        <v>0</v>
      </c>
      <c r="E136" s="509">
        <f t="shared" si="24"/>
        <v>0</v>
      </c>
      <c r="F136" s="510">
        <f t="shared" si="25"/>
        <v>0</v>
      </c>
      <c r="G136" s="510">
        <f t="shared" si="26"/>
        <v>0</v>
      </c>
      <c r="H136" s="523">
        <f t="shared" si="27"/>
        <v>0</v>
      </c>
      <c r="I136" s="572">
        <f t="shared" si="28"/>
        <v>0</v>
      </c>
      <c r="J136" s="504">
        <f t="shared" si="23"/>
        <v>0</v>
      </c>
      <c r="K136" s="504"/>
      <c r="L136" s="512"/>
      <c r="M136" s="504">
        <f t="shared" si="30"/>
        <v>0</v>
      </c>
      <c r="N136" s="512"/>
      <c r="O136" s="504">
        <f t="shared" si="31"/>
        <v>0</v>
      </c>
      <c r="P136" s="504">
        <f t="shared" si="32"/>
        <v>0</v>
      </c>
      <c r="Q136" s="243"/>
      <c r="R136" s="243"/>
      <c r="S136" s="243"/>
      <c r="T136" s="243"/>
      <c r="U136" s="243"/>
    </row>
    <row r="137" spans="3:21">
      <c r="C137" s="495">
        <f>IF(D94="","-",+C136+1)</f>
        <v>2051</v>
      </c>
      <c r="D137" s="349">
        <f>IF(F136+SUM(E$100:E136)=D$93,F136,D$93-SUM(E$100:E136))</f>
        <v>0</v>
      </c>
      <c r="E137" s="509">
        <f t="shared" si="24"/>
        <v>0</v>
      </c>
      <c r="F137" s="510">
        <f t="shared" si="25"/>
        <v>0</v>
      </c>
      <c r="G137" s="510">
        <f t="shared" si="26"/>
        <v>0</v>
      </c>
      <c r="H137" s="523">
        <f t="shared" si="27"/>
        <v>0</v>
      </c>
      <c r="I137" s="572">
        <f t="shared" si="28"/>
        <v>0</v>
      </c>
      <c r="J137" s="504">
        <f t="shared" si="23"/>
        <v>0</v>
      </c>
      <c r="K137" s="504"/>
      <c r="L137" s="512"/>
      <c r="M137" s="504">
        <f t="shared" si="30"/>
        <v>0</v>
      </c>
      <c r="N137" s="512"/>
      <c r="O137" s="504">
        <f t="shared" si="31"/>
        <v>0</v>
      </c>
      <c r="P137" s="504">
        <f t="shared" si="32"/>
        <v>0</v>
      </c>
      <c r="Q137" s="243"/>
      <c r="R137" s="243"/>
      <c r="S137" s="243"/>
      <c r="T137" s="243"/>
      <c r="U137" s="243"/>
    </row>
    <row r="138" spans="3:21">
      <c r="C138" s="495">
        <f>IF(D94="","-",+C137+1)</f>
        <v>2052</v>
      </c>
      <c r="D138" s="349">
        <f>IF(F137+SUM(E$100:E137)=D$93,F137,D$93-SUM(E$100:E137))</f>
        <v>0</v>
      </c>
      <c r="E138" s="509">
        <f t="shared" si="24"/>
        <v>0</v>
      </c>
      <c r="F138" s="510">
        <f t="shared" si="25"/>
        <v>0</v>
      </c>
      <c r="G138" s="510">
        <f t="shared" si="26"/>
        <v>0</v>
      </c>
      <c r="H138" s="523">
        <f t="shared" si="27"/>
        <v>0</v>
      </c>
      <c r="I138" s="572">
        <f t="shared" si="28"/>
        <v>0</v>
      </c>
      <c r="J138" s="504">
        <f t="shared" si="23"/>
        <v>0</v>
      </c>
      <c r="K138" s="504"/>
      <c r="L138" s="512"/>
      <c r="M138" s="504">
        <f t="shared" si="30"/>
        <v>0</v>
      </c>
      <c r="N138" s="512"/>
      <c r="O138" s="504">
        <f t="shared" si="31"/>
        <v>0</v>
      </c>
      <c r="P138" s="504">
        <f t="shared" si="32"/>
        <v>0</v>
      </c>
      <c r="Q138" s="243"/>
      <c r="R138" s="243"/>
      <c r="S138" s="243"/>
      <c r="T138" s="243"/>
      <c r="U138" s="243"/>
    </row>
    <row r="139" spans="3:21">
      <c r="C139" s="495">
        <f>IF(D94="","-",+C138+1)</f>
        <v>2053</v>
      </c>
      <c r="D139" s="349">
        <f>IF(F138+SUM(E$100:E138)=D$93,F138,D$93-SUM(E$100:E138))</f>
        <v>0</v>
      </c>
      <c r="E139" s="509">
        <f t="shared" si="24"/>
        <v>0</v>
      </c>
      <c r="F139" s="510">
        <f t="shared" si="25"/>
        <v>0</v>
      </c>
      <c r="G139" s="510">
        <f t="shared" si="26"/>
        <v>0</v>
      </c>
      <c r="H139" s="523">
        <f t="shared" si="27"/>
        <v>0</v>
      </c>
      <c r="I139" s="572">
        <f t="shared" si="28"/>
        <v>0</v>
      </c>
      <c r="J139" s="504">
        <f t="shared" si="23"/>
        <v>0</v>
      </c>
      <c r="K139" s="504"/>
      <c r="L139" s="512"/>
      <c r="M139" s="504">
        <f t="shared" si="30"/>
        <v>0</v>
      </c>
      <c r="N139" s="512"/>
      <c r="O139" s="504">
        <f t="shared" si="31"/>
        <v>0</v>
      </c>
      <c r="P139" s="504">
        <f t="shared" si="32"/>
        <v>0</v>
      </c>
      <c r="Q139" s="243"/>
      <c r="R139" s="243"/>
      <c r="S139" s="243"/>
      <c r="T139" s="243"/>
      <c r="U139" s="243"/>
    </row>
    <row r="140" spans="3:21">
      <c r="C140" s="495">
        <f>IF(D94="","-",+C139+1)</f>
        <v>2054</v>
      </c>
      <c r="D140" s="349">
        <f>IF(F139+SUM(E$100:E139)=D$93,F139,D$93-SUM(E$100:E139))</f>
        <v>0</v>
      </c>
      <c r="E140" s="509">
        <f t="shared" si="24"/>
        <v>0</v>
      </c>
      <c r="F140" s="510">
        <f t="shared" si="25"/>
        <v>0</v>
      </c>
      <c r="G140" s="510">
        <f t="shared" si="26"/>
        <v>0</v>
      </c>
      <c r="H140" s="523">
        <f t="shared" si="27"/>
        <v>0</v>
      </c>
      <c r="I140" s="572">
        <f t="shared" si="28"/>
        <v>0</v>
      </c>
      <c r="J140" s="504">
        <f t="shared" si="23"/>
        <v>0</v>
      </c>
      <c r="K140" s="504"/>
      <c r="L140" s="512"/>
      <c r="M140" s="504">
        <f t="shared" si="30"/>
        <v>0</v>
      </c>
      <c r="N140" s="512"/>
      <c r="O140" s="504">
        <f t="shared" si="31"/>
        <v>0</v>
      </c>
      <c r="P140" s="504">
        <f t="shared" si="32"/>
        <v>0</v>
      </c>
      <c r="Q140" s="243"/>
      <c r="R140" s="243"/>
      <c r="S140" s="243"/>
      <c r="T140" s="243"/>
      <c r="U140" s="243"/>
    </row>
    <row r="141" spans="3:21">
      <c r="C141" s="495">
        <f>IF(D94="","-",+C140+1)</f>
        <v>2055</v>
      </c>
      <c r="D141" s="349">
        <f>IF(F140+SUM(E$100:E140)=D$93,F140,D$93-SUM(E$100:E140))</f>
        <v>0</v>
      </c>
      <c r="E141" s="509">
        <f t="shared" si="24"/>
        <v>0</v>
      </c>
      <c r="F141" s="510">
        <f t="shared" si="25"/>
        <v>0</v>
      </c>
      <c r="G141" s="510">
        <f t="shared" si="26"/>
        <v>0</v>
      </c>
      <c r="H141" s="523">
        <f t="shared" si="27"/>
        <v>0</v>
      </c>
      <c r="I141" s="572">
        <f t="shared" si="28"/>
        <v>0</v>
      </c>
      <c r="J141" s="504">
        <f t="shared" si="23"/>
        <v>0</v>
      </c>
      <c r="K141" s="504"/>
      <c r="L141" s="512"/>
      <c r="M141" s="504">
        <f t="shared" si="30"/>
        <v>0</v>
      </c>
      <c r="N141" s="512"/>
      <c r="O141" s="504">
        <f t="shared" si="31"/>
        <v>0</v>
      </c>
      <c r="P141" s="504">
        <f t="shared" si="32"/>
        <v>0</v>
      </c>
      <c r="Q141" s="243"/>
      <c r="R141" s="243"/>
      <c r="S141" s="243"/>
      <c r="T141" s="243"/>
      <c r="U141" s="243"/>
    </row>
    <row r="142" spans="3:21">
      <c r="C142" s="495">
        <f>IF(D94="","-",+C141+1)</f>
        <v>2056</v>
      </c>
      <c r="D142" s="349">
        <f>IF(F141+SUM(E$100:E141)=D$93,F141,D$93-SUM(E$100:E141))</f>
        <v>0</v>
      </c>
      <c r="E142" s="509">
        <f t="shared" si="24"/>
        <v>0</v>
      </c>
      <c r="F142" s="510">
        <f t="shared" si="25"/>
        <v>0</v>
      </c>
      <c r="G142" s="510">
        <f t="shared" si="26"/>
        <v>0</v>
      </c>
      <c r="H142" s="523">
        <f t="shared" si="27"/>
        <v>0</v>
      </c>
      <c r="I142" s="572">
        <f t="shared" si="28"/>
        <v>0</v>
      </c>
      <c r="J142" s="504">
        <f t="shared" si="23"/>
        <v>0</v>
      </c>
      <c r="K142" s="504"/>
      <c r="L142" s="512"/>
      <c r="M142" s="504">
        <f t="shared" si="30"/>
        <v>0</v>
      </c>
      <c r="N142" s="512"/>
      <c r="O142" s="504">
        <f t="shared" si="31"/>
        <v>0</v>
      </c>
      <c r="P142" s="504">
        <f t="shared" si="32"/>
        <v>0</v>
      </c>
      <c r="Q142" s="243"/>
      <c r="R142" s="243"/>
      <c r="S142" s="243"/>
      <c r="T142" s="243"/>
      <c r="U142" s="243"/>
    </row>
    <row r="143" spans="3:21">
      <c r="C143" s="495">
        <f>IF(D94="","-",+C142+1)</f>
        <v>2057</v>
      </c>
      <c r="D143" s="349">
        <f>IF(F142+SUM(E$100:E142)=D$93,F142,D$93-SUM(E$100:E142))</f>
        <v>0</v>
      </c>
      <c r="E143" s="509">
        <f t="shared" si="24"/>
        <v>0</v>
      </c>
      <c r="F143" s="510">
        <f t="shared" si="25"/>
        <v>0</v>
      </c>
      <c r="G143" s="510">
        <f t="shared" si="26"/>
        <v>0</v>
      </c>
      <c r="H143" s="523">
        <f t="shared" si="27"/>
        <v>0</v>
      </c>
      <c r="I143" s="572">
        <f t="shared" si="28"/>
        <v>0</v>
      </c>
      <c r="J143" s="504">
        <f t="shared" si="23"/>
        <v>0</v>
      </c>
      <c r="K143" s="504"/>
      <c r="L143" s="512"/>
      <c r="M143" s="504">
        <f t="shared" si="30"/>
        <v>0</v>
      </c>
      <c r="N143" s="512"/>
      <c r="O143" s="504">
        <f t="shared" si="31"/>
        <v>0</v>
      </c>
      <c r="P143" s="504">
        <f t="shared" si="32"/>
        <v>0</v>
      </c>
      <c r="Q143" s="243"/>
      <c r="R143" s="243"/>
      <c r="S143" s="243"/>
      <c r="T143" s="243"/>
      <c r="U143" s="243"/>
    </row>
    <row r="144" spans="3:21">
      <c r="C144" s="495">
        <f>IF(D94="","-",+C143+1)</f>
        <v>2058</v>
      </c>
      <c r="D144" s="349">
        <f>IF(F143+SUM(E$100:E143)=D$93,F143,D$93-SUM(E$100:E143))</f>
        <v>0</v>
      </c>
      <c r="E144" s="509">
        <f t="shared" si="24"/>
        <v>0</v>
      </c>
      <c r="F144" s="510">
        <f t="shared" si="25"/>
        <v>0</v>
      </c>
      <c r="G144" s="510">
        <f t="shared" si="26"/>
        <v>0</v>
      </c>
      <c r="H144" s="523">
        <f t="shared" si="27"/>
        <v>0</v>
      </c>
      <c r="I144" s="572">
        <f t="shared" si="28"/>
        <v>0</v>
      </c>
      <c r="J144" s="504">
        <f t="shared" si="23"/>
        <v>0</v>
      </c>
      <c r="K144" s="504"/>
      <c r="L144" s="512"/>
      <c r="M144" s="504">
        <f t="shared" si="30"/>
        <v>0</v>
      </c>
      <c r="N144" s="512"/>
      <c r="O144" s="504">
        <f t="shared" si="31"/>
        <v>0</v>
      </c>
      <c r="P144" s="504">
        <f t="shared" si="32"/>
        <v>0</v>
      </c>
      <c r="Q144" s="243"/>
      <c r="R144" s="243"/>
      <c r="S144" s="243"/>
      <c r="T144" s="243"/>
      <c r="U144" s="243"/>
    </row>
    <row r="145" spans="3:21">
      <c r="C145" s="495">
        <f>IF(D94="","-",+C144+1)</f>
        <v>2059</v>
      </c>
      <c r="D145" s="349">
        <f>IF(F144+SUM(E$100:E144)=D$93,F144,D$93-SUM(E$100:E144))</f>
        <v>0</v>
      </c>
      <c r="E145" s="509">
        <f t="shared" si="24"/>
        <v>0</v>
      </c>
      <c r="F145" s="510">
        <f t="shared" si="25"/>
        <v>0</v>
      </c>
      <c r="G145" s="510">
        <f t="shared" si="26"/>
        <v>0</v>
      </c>
      <c r="H145" s="523">
        <f t="shared" si="27"/>
        <v>0</v>
      </c>
      <c r="I145" s="572">
        <f t="shared" si="28"/>
        <v>0</v>
      </c>
      <c r="J145" s="504">
        <f t="shared" si="23"/>
        <v>0</v>
      </c>
      <c r="K145" s="504"/>
      <c r="L145" s="512"/>
      <c r="M145" s="504">
        <f t="shared" si="30"/>
        <v>0</v>
      </c>
      <c r="N145" s="512"/>
      <c r="O145" s="504">
        <f t="shared" si="31"/>
        <v>0</v>
      </c>
      <c r="P145" s="504">
        <f t="shared" si="32"/>
        <v>0</v>
      </c>
      <c r="Q145" s="243"/>
      <c r="R145" s="243"/>
      <c r="S145" s="243"/>
      <c r="T145" s="243"/>
      <c r="U145" s="243"/>
    </row>
    <row r="146" spans="3:21">
      <c r="C146" s="495">
        <f>IF(D94="","-",+C145+1)</f>
        <v>2060</v>
      </c>
      <c r="D146" s="349">
        <f>IF(F145+SUM(E$100:E145)=D$93,F145,D$93-SUM(E$100:E145))</f>
        <v>0</v>
      </c>
      <c r="E146" s="509">
        <f t="shared" si="24"/>
        <v>0</v>
      </c>
      <c r="F146" s="510">
        <f t="shared" si="25"/>
        <v>0</v>
      </c>
      <c r="G146" s="510">
        <f t="shared" si="26"/>
        <v>0</v>
      </c>
      <c r="H146" s="523">
        <f t="shared" si="27"/>
        <v>0</v>
      </c>
      <c r="I146" s="572">
        <f t="shared" si="28"/>
        <v>0</v>
      </c>
      <c r="J146" s="504">
        <f t="shared" si="23"/>
        <v>0</v>
      </c>
      <c r="K146" s="504"/>
      <c r="L146" s="512"/>
      <c r="M146" s="504">
        <f t="shared" si="30"/>
        <v>0</v>
      </c>
      <c r="N146" s="512"/>
      <c r="O146" s="504">
        <f t="shared" si="31"/>
        <v>0</v>
      </c>
      <c r="P146" s="504">
        <f t="shared" si="32"/>
        <v>0</v>
      </c>
      <c r="Q146" s="243"/>
      <c r="R146" s="243"/>
      <c r="S146" s="243"/>
      <c r="T146" s="243"/>
      <c r="U146" s="243"/>
    </row>
    <row r="147" spans="3:21">
      <c r="C147" s="495">
        <f>IF(D94="","-",+C146+1)</f>
        <v>2061</v>
      </c>
      <c r="D147" s="349">
        <f>IF(F146+SUM(E$100:E146)=D$93,F146,D$93-SUM(E$100:E146))</f>
        <v>0</v>
      </c>
      <c r="E147" s="509">
        <f t="shared" si="24"/>
        <v>0</v>
      </c>
      <c r="F147" s="510">
        <f t="shared" si="25"/>
        <v>0</v>
      </c>
      <c r="G147" s="510">
        <f t="shared" si="26"/>
        <v>0</v>
      </c>
      <c r="H147" s="523">
        <f t="shared" si="27"/>
        <v>0</v>
      </c>
      <c r="I147" s="572">
        <f t="shared" si="28"/>
        <v>0</v>
      </c>
      <c r="J147" s="504">
        <f t="shared" si="23"/>
        <v>0</v>
      </c>
      <c r="K147" s="504"/>
      <c r="L147" s="512"/>
      <c r="M147" s="504">
        <f t="shared" si="30"/>
        <v>0</v>
      </c>
      <c r="N147" s="512"/>
      <c r="O147" s="504">
        <f t="shared" si="31"/>
        <v>0</v>
      </c>
      <c r="P147" s="504">
        <f t="shared" si="32"/>
        <v>0</v>
      </c>
      <c r="Q147" s="243"/>
      <c r="R147" s="243"/>
      <c r="S147" s="243"/>
      <c r="T147" s="243"/>
      <c r="U147" s="243"/>
    </row>
    <row r="148" spans="3:21">
      <c r="C148" s="495">
        <f>IF(D94="","-",+C147+1)</f>
        <v>2062</v>
      </c>
      <c r="D148" s="349">
        <f>IF(F147+SUM(E$100:E147)=D$93,F147,D$93-SUM(E$100:E147))</f>
        <v>0</v>
      </c>
      <c r="E148" s="509">
        <f t="shared" si="24"/>
        <v>0</v>
      </c>
      <c r="F148" s="510">
        <f t="shared" si="25"/>
        <v>0</v>
      </c>
      <c r="G148" s="510">
        <f t="shared" si="26"/>
        <v>0</v>
      </c>
      <c r="H148" s="523">
        <f t="shared" si="27"/>
        <v>0</v>
      </c>
      <c r="I148" s="572">
        <f t="shared" si="28"/>
        <v>0</v>
      </c>
      <c r="J148" s="504">
        <f t="shared" si="23"/>
        <v>0</v>
      </c>
      <c r="K148" s="504"/>
      <c r="L148" s="512"/>
      <c r="M148" s="504">
        <f t="shared" si="30"/>
        <v>0</v>
      </c>
      <c r="N148" s="512"/>
      <c r="O148" s="504">
        <f t="shared" si="31"/>
        <v>0</v>
      </c>
      <c r="P148" s="504">
        <f t="shared" si="32"/>
        <v>0</v>
      </c>
      <c r="Q148" s="243"/>
      <c r="R148" s="243"/>
      <c r="S148" s="243"/>
      <c r="T148" s="243"/>
      <c r="U148" s="243"/>
    </row>
    <row r="149" spans="3:21">
      <c r="C149" s="495">
        <f>IF(D94="","-",+C148+1)</f>
        <v>2063</v>
      </c>
      <c r="D149" s="349">
        <f>IF(F148+SUM(E$100:E148)=D$93,F148,D$93-SUM(E$100:E148))</f>
        <v>0</v>
      </c>
      <c r="E149" s="509">
        <f t="shared" si="24"/>
        <v>0</v>
      </c>
      <c r="F149" s="510">
        <f t="shared" si="25"/>
        <v>0</v>
      </c>
      <c r="G149" s="510">
        <f t="shared" si="26"/>
        <v>0</v>
      </c>
      <c r="H149" s="523">
        <f t="shared" si="27"/>
        <v>0</v>
      </c>
      <c r="I149" s="572">
        <f t="shared" si="28"/>
        <v>0</v>
      </c>
      <c r="J149" s="504">
        <f t="shared" si="23"/>
        <v>0</v>
      </c>
      <c r="K149" s="504"/>
      <c r="L149" s="512"/>
      <c r="M149" s="504">
        <f t="shared" si="30"/>
        <v>0</v>
      </c>
      <c r="N149" s="512"/>
      <c r="O149" s="504">
        <f t="shared" si="31"/>
        <v>0</v>
      </c>
      <c r="P149" s="504">
        <f t="shared" si="32"/>
        <v>0</v>
      </c>
      <c r="Q149" s="243"/>
      <c r="R149" s="243"/>
      <c r="S149" s="243"/>
      <c r="T149" s="243"/>
      <c r="U149" s="243"/>
    </row>
    <row r="150" spans="3:21">
      <c r="C150" s="495">
        <f>IF(D94="","-",+C149+1)</f>
        <v>2064</v>
      </c>
      <c r="D150" s="349">
        <f>IF(F149+SUM(E$100:E149)=D$93,F149,D$93-SUM(E$100:E149))</f>
        <v>0</v>
      </c>
      <c r="E150" s="509">
        <f t="shared" si="24"/>
        <v>0</v>
      </c>
      <c r="F150" s="510">
        <f t="shared" si="25"/>
        <v>0</v>
      </c>
      <c r="G150" s="510">
        <f t="shared" si="26"/>
        <v>0</v>
      </c>
      <c r="H150" s="523">
        <f t="shared" si="27"/>
        <v>0</v>
      </c>
      <c r="I150" s="572">
        <f t="shared" si="28"/>
        <v>0</v>
      </c>
      <c r="J150" s="504">
        <f t="shared" si="23"/>
        <v>0</v>
      </c>
      <c r="K150" s="504"/>
      <c r="L150" s="512"/>
      <c r="M150" s="504">
        <f t="shared" si="30"/>
        <v>0</v>
      </c>
      <c r="N150" s="512"/>
      <c r="O150" s="504">
        <f t="shared" si="31"/>
        <v>0</v>
      </c>
      <c r="P150" s="504">
        <f t="shared" si="32"/>
        <v>0</v>
      </c>
      <c r="Q150" s="243"/>
      <c r="R150" s="243"/>
      <c r="S150" s="243"/>
      <c r="T150" s="243"/>
      <c r="U150" s="243"/>
    </row>
    <row r="151" spans="3:21">
      <c r="C151" s="495">
        <f>IF(D94="","-",+C150+1)</f>
        <v>2065</v>
      </c>
      <c r="D151" s="349">
        <f>IF(F150+SUM(E$100:E150)=D$93,F150,D$93-SUM(E$100:E150))</f>
        <v>0</v>
      </c>
      <c r="E151" s="509">
        <f t="shared" si="24"/>
        <v>0</v>
      </c>
      <c r="F151" s="510">
        <f t="shared" si="25"/>
        <v>0</v>
      </c>
      <c r="G151" s="510">
        <f t="shared" si="26"/>
        <v>0</v>
      </c>
      <c r="H151" s="523">
        <f t="shared" si="27"/>
        <v>0</v>
      </c>
      <c r="I151" s="572">
        <f t="shared" si="28"/>
        <v>0</v>
      </c>
      <c r="J151" s="504">
        <f t="shared" si="23"/>
        <v>0</v>
      </c>
      <c r="K151" s="504"/>
      <c r="L151" s="512"/>
      <c r="M151" s="504">
        <f t="shared" si="30"/>
        <v>0</v>
      </c>
      <c r="N151" s="512"/>
      <c r="O151" s="504">
        <f t="shared" si="31"/>
        <v>0</v>
      </c>
      <c r="P151" s="504">
        <f t="shared" si="32"/>
        <v>0</v>
      </c>
      <c r="Q151" s="243"/>
      <c r="R151" s="243"/>
      <c r="S151" s="243"/>
      <c r="T151" s="243"/>
      <c r="U151" s="243"/>
    </row>
    <row r="152" spans="3:21">
      <c r="C152" s="495">
        <f>IF(D94="","-",+C151+1)</f>
        <v>2066</v>
      </c>
      <c r="D152" s="349">
        <f>IF(F151+SUM(E$100:E151)=D$93,F151,D$93-SUM(E$100:E151))</f>
        <v>0</v>
      </c>
      <c r="E152" s="509">
        <f t="shared" si="24"/>
        <v>0</v>
      </c>
      <c r="F152" s="510">
        <f t="shared" si="25"/>
        <v>0</v>
      </c>
      <c r="G152" s="510">
        <f t="shared" si="26"/>
        <v>0</v>
      </c>
      <c r="H152" s="523">
        <f t="shared" si="27"/>
        <v>0</v>
      </c>
      <c r="I152" s="572">
        <f t="shared" si="28"/>
        <v>0</v>
      </c>
      <c r="J152" s="504">
        <f t="shared" si="23"/>
        <v>0</v>
      </c>
      <c r="K152" s="504"/>
      <c r="L152" s="512"/>
      <c r="M152" s="504">
        <f t="shared" si="30"/>
        <v>0</v>
      </c>
      <c r="N152" s="512"/>
      <c r="O152" s="504">
        <f t="shared" si="31"/>
        <v>0</v>
      </c>
      <c r="P152" s="504">
        <f t="shared" si="32"/>
        <v>0</v>
      </c>
      <c r="Q152" s="243"/>
      <c r="R152" s="243"/>
      <c r="S152" s="243"/>
      <c r="T152" s="243"/>
      <c r="U152" s="243"/>
    </row>
    <row r="153" spans="3:21">
      <c r="C153" s="495">
        <f>IF(D94="","-",+C152+1)</f>
        <v>2067</v>
      </c>
      <c r="D153" s="349">
        <f>IF(F152+SUM(E$100:E152)=D$93,F152,D$93-SUM(E$100:E152))</f>
        <v>0</v>
      </c>
      <c r="E153" s="509">
        <f t="shared" si="24"/>
        <v>0</v>
      </c>
      <c r="F153" s="510">
        <f t="shared" si="25"/>
        <v>0</v>
      </c>
      <c r="G153" s="510">
        <f t="shared" si="26"/>
        <v>0</v>
      </c>
      <c r="H153" s="523">
        <f t="shared" si="27"/>
        <v>0</v>
      </c>
      <c r="I153" s="572">
        <f t="shared" si="28"/>
        <v>0</v>
      </c>
      <c r="J153" s="504">
        <f t="shared" si="23"/>
        <v>0</v>
      </c>
      <c r="K153" s="504"/>
      <c r="L153" s="512"/>
      <c r="M153" s="504">
        <f t="shared" si="30"/>
        <v>0</v>
      </c>
      <c r="N153" s="512"/>
      <c r="O153" s="504">
        <f t="shared" si="31"/>
        <v>0</v>
      </c>
      <c r="P153" s="504">
        <f t="shared" si="32"/>
        <v>0</v>
      </c>
      <c r="Q153" s="243"/>
      <c r="R153" s="243"/>
      <c r="S153" s="243"/>
      <c r="T153" s="243"/>
      <c r="U153" s="243"/>
    </row>
    <row r="154" spans="3:21">
      <c r="C154" s="495">
        <f>IF(D94="","-",+C153+1)</f>
        <v>2068</v>
      </c>
      <c r="D154" s="349">
        <f>IF(F153+SUM(E$100:E153)=D$93,F153,D$93-SUM(E$100:E153))</f>
        <v>0</v>
      </c>
      <c r="E154" s="509">
        <f t="shared" si="24"/>
        <v>0</v>
      </c>
      <c r="F154" s="510">
        <f t="shared" si="25"/>
        <v>0</v>
      </c>
      <c r="G154" s="510">
        <f t="shared" si="26"/>
        <v>0</v>
      </c>
      <c r="H154" s="523">
        <f t="shared" si="27"/>
        <v>0</v>
      </c>
      <c r="I154" s="572">
        <f t="shared" si="28"/>
        <v>0</v>
      </c>
      <c r="J154" s="504">
        <f t="shared" si="23"/>
        <v>0</v>
      </c>
      <c r="K154" s="504"/>
      <c r="L154" s="512"/>
      <c r="M154" s="504">
        <f t="shared" si="30"/>
        <v>0</v>
      </c>
      <c r="N154" s="512"/>
      <c r="O154" s="504">
        <f t="shared" si="31"/>
        <v>0</v>
      </c>
      <c r="P154" s="504">
        <f t="shared" si="32"/>
        <v>0</v>
      </c>
      <c r="Q154" s="243"/>
      <c r="R154" s="243"/>
      <c r="S154" s="243"/>
      <c r="T154" s="243"/>
      <c r="U154" s="243"/>
    </row>
    <row r="155" spans="3:21" ht="13.5" thickBot="1">
      <c r="C155" s="524">
        <f>IF(D94="","-",+C154+1)</f>
        <v>2069</v>
      </c>
      <c r="D155" s="618">
        <f>IF(F154+SUM(E$100:E154)=D$93,F154,D$93-SUM(E$100:E154))</f>
        <v>0</v>
      </c>
      <c r="E155" s="526">
        <f t="shared" si="24"/>
        <v>0</v>
      </c>
      <c r="F155" s="527">
        <f t="shared" si="25"/>
        <v>0</v>
      </c>
      <c r="G155" s="527">
        <f t="shared" si="26"/>
        <v>0</v>
      </c>
      <c r="H155" s="528">
        <f t="shared" si="27"/>
        <v>0</v>
      </c>
      <c r="I155" s="573">
        <f t="shared" si="28"/>
        <v>0</v>
      </c>
      <c r="J155" s="531">
        <f t="shared" si="23"/>
        <v>0</v>
      </c>
      <c r="K155" s="504"/>
      <c r="L155" s="530"/>
      <c r="M155" s="531">
        <f t="shared" si="30"/>
        <v>0</v>
      </c>
      <c r="N155" s="530"/>
      <c r="O155" s="531">
        <f t="shared" si="31"/>
        <v>0</v>
      </c>
      <c r="P155" s="531">
        <f t="shared" si="32"/>
        <v>0</v>
      </c>
      <c r="Q155" s="243"/>
      <c r="R155" s="243"/>
      <c r="S155" s="243"/>
      <c r="T155" s="243"/>
      <c r="U155" s="243"/>
    </row>
    <row r="156" spans="3:21">
      <c r="C156" s="349" t="s">
        <v>75</v>
      </c>
      <c r="D156" s="294"/>
      <c r="E156" s="294">
        <f>SUM(E100:E155)</f>
        <v>1864625.0099999998</v>
      </c>
      <c r="F156" s="294"/>
      <c r="G156" s="294"/>
      <c r="H156" s="294">
        <f>SUM(H100:H155)</f>
        <v>4656410.0709914854</v>
      </c>
      <c r="I156" s="294">
        <f>SUM(I100:I155)</f>
        <v>4656410.0709914854</v>
      </c>
      <c r="J156" s="294">
        <f>SUM(J100:J155)</f>
        <v>0</v>
      </c>
      <c r="K156" s="294"/>
      <c r="L156" s="294"/>
      <c r="M156" s="294"/>
      <c r="N156" s="294"/>
      <c r="O156" s="294"/>
      <c r="P156" s="243"/>
      <c r="Q156" s="243"/>
      <c r="R156" s="243"/>
      <c r="S156" s="243"/>
      <c r="T156" s="243"/>
      <c r="U156" s="243"/>
    </row>
    <row r="157" spans="3:21">
      <c r="C157" s="145" t="s">
        <v>90</v>
      </c>
      <c r="D157" s="292"/>
      <c r="E157" s="243"/>
      <c r="F157" s="243"/>
      <c r="G157" s="243"/>
      <c r="H157" s="243"/>
      <c r="I157" s="325"/>
      <c r="J157" s="325"/>
      <c r="K157" s="294"/>
      <c r="L157" s="325"/>
      <c r="M157" s="325"/>
      <c r="N157" s="325"/>
      <c r="O157" s="325"/>
      <c r="P157" s="243"/>
      <c r="Q157" s="243"/>
      <c r="R157" s="243"/>
      <c r="S157" s="243"/>
      <c r="T157" s="243"/>
      <c r="U157" s="243"/>
    </row>
    <row r="158" spans="3:21">
      <c r="C158" s="574"/>
      <c r="D158" s="292"/>
      <c r="E158" s="243"/>
      <c r="F158" s="243"/>
      <c r="G158" s="243"/>
      <c r="H158" s="243"/>
      <c r="I158" s="325"/>
      <c r="J158" s="325"/>
      <c r="K158" s="294"/>
      <c r="L158" s="325"/>
      <c r="M158" s="325"/>
      <c r="N158" s="325"/>
      <c r="O158" s="325"/>
      <c r="P158" s="243"/>
      <c r="Q158" s="243"/>
      <c r="R158" s="243"/>
      <c r="S158" s="243"/>
      <c r="T158" s="243"/>
      <c r="U158" s="243"/>
    </row>
    <row r="159" spans="3:21">
      <c r="C159" s="619" t="s">
        <v>130</v>
      </c>
      <c r="D159" s="292"/>
      <c r="E159" s="243"/>
      <c r="F159" s="243"/>
      <c r="G159" s="243"/>
      <c r="H159" s="243"/>
      <c r="I159" s="325"/>
      <c r="J159" s="325"/>
      <c r="K159" s="294"/>
      <c r="L159" s="325"/>
      <c r="M159" s="325"/>
      <c r="N159" s="325"/>
      <c r="O159" s="325"/>
      <c r="P159" s="243"/>
      <c r="Q159" s="243"/>
      <c r="R159" s="243"/>
      <c r="S159" s="243"/>
      <c r="T159" s="243"/>
      <c r="U159" s="243"/>
    </row>
    <row r="160" spans="3:21">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c r="C162" s="575"/>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45" priority="1" stopIfTrue="1" operator="equal">
      <formula>$I$10</formula>
    </cfRule>
  </conditionalFormatting>
  <conditionalFormatting sqref="C100:C155">
    <cfRule type="cellIs" dxfId="44"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U163"/>
  <sheetViews>
    <sheetView view="pageBreakPreview" zoomScale="78" zoomScaleNormal="100" zoomScaleSheetLayoutView="78"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9 of 23</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1061934.9640688223</v>
      </c>
      <c r="P5" s="243"/>
      <c r="R5" s="243"/>
      <c r="S5" s="243"/>
      <c r="T5" s="243"/>
      <c r="U5" s="243"/>
    </row>
    <row r="6" spans="1:21" ht="15.75">
      <c r="C6" s="235"/>
      <c r="D6" s="292"/>
      <c r="E6" s="243"/>
      <c r="F6" s="243"/>
      <c r="G6" s="243"/>
      <c r="H6" s="449"/>
      <c r="I6" s="449"/>
      <c r="J6" s="450"/>
      <c r="K6" s="451" t="s">
        <v>243</v>
      </c>
      <c r="L6" s="452"/>
      <c r="M6" s="278"/>
      <c r="N6" s="453">
        <f>VLOOKUP(I10,C17:I73,6)</f>
        <v>1061934.9640688223</v>
      </c>
      <c r="O6" s="243"/>
      <c r="P6" s="243"/>
      <c r="R6" s="243"/>
      <c r="S6" s="243"/>
      <c r="T6" s="243"/>
      <c r="U6" s="243"/>
    </row>
    <row r="7" spans="1:21" ht="13.5" thickBot="1">
      <c r="C7" s="454" t="s">
        <v>46</v>
      </c>
      <c r="D7" s="455" t="s">
        <v>220</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C9" s="463" t="s">
        <v>48</v>
      </c>
      <c r="D9" s="464" t="s">
        <v>219</v>
      </c>
      <c r="E9" s="647" t="s">
        <v>304</v>
      </c>
      <c r="F9" s="465"/>
      <c r="G9" s="465"/>
      <c r="H9" s="465"/>
      <c r="I9" s="466"/>
      <c r="J9" s="467"/>
      <c r="O9" s="468"/>
      <c r="P9" s="278"/>
      <c r="R9" s="243"/>
      <c r="S9" s="243"/>
      <c r="T9" s="243"/>
      <c r="U9" s="243"/>
    </row>
    <row r="10" spans="1:21">
      <c r="C10" s="469" t="s">
        <v>49</v>
      </c>
      <c r="D10" s="470">
        <v>8535104</v>
      </c>
      <c r="E10" s="299" t="s">
        <v>50</v>
      </c>
      <c r="F10" s="468"/>
      <c r="G10" s="408"/>
      <c r="H10" s="408"/>
      <c r="I10" s="471">
        <f>+OKT.WS.F.BPU.ATRR.Projected!R101</f>
        <v>2022</v>
      </c>
      <c r="J10" s="467"/>
      <c r="K10" s="294" t="s">
        <v>51</v>
      </c>
      <c r="O10" s="278"/>
      <c r="P10" s="278"/>
      <c r="R10" s="243"/>
      <c r="S10" s="243"/>
      <c r="T10" s="243"/>
      <c r="U10" s="243"/>
    </row>
    <row r="11" spans="1:21">
      <c r="C11" s="472" t="s">
        <v>52</v>
      </c>
      <c r="D11" s="473">
        <v>2015</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6</v>
      </c>
      <c r="E12" s="472" t="s">
        <v>55</v>
      </c>
      <c r="F12" s="408"/>
      <c r="G12" s="220"/>
      <c r="H12" s="220"/>
      <c r="I12" s="476">
        <f>OKT.WS.F.BPU.ATRR.Projected!$F$79</f>
        <v>0.11475877389767174</v>
      </c>
      <c r="J12" s="413"/>
      <c r="K12" s="145" t="s">
        <v>56</v>
      </c>
      <c r="O12" s="278"/>
      <c r="P12" s="278"/>
      <c r="R12" s="243"/>
      <c r="S12" s="243"/>
      <c r="T12" s="243"/>
      <c r="U12" s="243"/>
    </row>
    <row r="13" spans="1:21">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258639.51515151514</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73" si="0">IF(D17=F16,"","IU")</f>
        <v>IU</v>
      </c>
      <c r="C17" s="495">
        <f>IF(D11= "","-",D11)</f>
        <v>2015</v>
      </c>
      <c r="D17" s="612">
        <v>7400000</v>
      </c>
      <c r="E17" s="620">
        <v>74674.92363561083</v>
      </c>
      <c r="F17" s="612">
        <v>7325325.0763643896</v>
      </c>
      <c r="G17" s="620">
        <v>578000.14938532724</v>
      </c>
      <c r="H17" s="617">
        <v>578000.14938532724</v>
      </c>
      <c r="I17" s="500">
        <v>0</v>
      </c>
      <c r="J17" s="500"/>
      <c r="K17" s="506">
        <f t="shared" ref="K17:K22" si="1">G17</f>
        <v>578000.14938532724</v>
      </c>
      <c r="L17" s="507">
        <f t="shared" ref="L17:L22" si="2">IF(K17&lt;&gt;0,+G17-K17,0)</f>
        <v>0</v>
      </c>
      <c r="M17" s="506">
        <f t="shared" ref="M17:M22" si="3">H17</f>
        <v>578000.14938532724</v>
      </c>
      <c r="N17" s="504">
        <f>IF(M17&lt;&gt;0,+H17-M17,0)</f>
        <v>0</v>
      </c>
      <c r="O17" s="504">
        <f>+N17-L17</f>
        <v>0</v>
      </c>
      <c r="P17" s="278"/>
      <c r="R17" s="243"/>
      <c r="S17" s="243"/>
      <c r="T17" s="243"/>
      <c r="U17" s="243"/>
    </row>
    <row r="18" spans="2:21">
      <c r="B18" s="145" t="str">
        <f t="shared" si="0"/>
        <v>IU</v>
      </c>
      <c r="C18" s="495">
        <f>IF(D11="","-",+C17+1)</f>
        <v>2016</v>
      </c>
      <c r="D18" s="617">
        <v>8381815.0763643896</v>
      </c>
      <c r="E18" s="617">
        <v>175721.24624335562</v>
      </c>
      <c r="F18" s="617">
        <v>8206093.8301210338</v>
      </c>
      <c r="G18" s="617">
        <v>1060997.6854975934</v>
      </c>
      <c r="H18" s="617">
        <v>1060997.6854975934</v>
      </c>
      <c r="I18" s="500">
        <f>H18-G18</f>
        <v>0</v>
      </c>
      <c r="J18" s="500"/>
      <c r="K18" s="506">
        <f t="shared" si="1"/>
        <v>1060997.6854975934</v>
      </c>
      <c r="L18" s="507">
        <f t="shared" si="2"/>
        <v>0</v>
      </c>
      <c r="M18" s="506">
        <f t="shared" si="3"/>
        <v>1060997.6854975934</v>
      </c>
      <c r="N18" s="504">
        <f t="shared" ref="N18:N73" si="4">IF(M18&lt;&gt;0,+H18-M18,0)</f>
        <v>0</v>
      </c>
      <c r="O18" s="504">
        <f t="shared" ref="O18:O73" si="5">+N18-L18</f>
        <v>0</v>
      </c>
      <c r="P18" s="278"/>
      <c r="R18" s="243"/>
      <c r="S18" s="243"/>
      <c r="T18" s="243"/>
      <c r="U18" s="243"/>
    </row>
    <row r="19" spans="2:21">
      <c r="B19" s="145" t="str">
        <f t="shared" si="0"/>
        <v>IU</v>
      </c>
      <c r="C19" s="495">
        <f>IF(D11="","-",+C18+1)</f>
        <v>2017</v>
      </c>
      <c r="D19" s="617">
        <v>8284707.8301210338</v>
      </c>
      <c r="E19" s="617">
        <v>167817.04229981007</v>
      </c>
      <c r="F19" s="617">
        <v>8116890.787821224</v>
      </c>
      <c r="G19" s="617">
        <v>1069412.6916216947</v>
      </c>
      <c r="H19" s="617">
        <v>1069412.6916216947</v>
      </c>
      <c r="I19" s="500">
        <f t="shared" ref="I19:I73" si="6">H19-G19</f>
        <v>0</v>
      </c>
      <c r="J19" s="500"/>
      <c r="K19" s="506">
        <f t="shared" si="1"/>
        <v>1069412.6916216947</v>
      </c>
      <c r="L19" s="507">
        <f t="shared" si="2"/>
        <v>0</v>
      </c>
      <c r="M19" s="506">
        <f t="shared" si="3"/>
        <v>1069412.6916216947</v>
      </c>
      <c r="N19" s="504">
        <f>IF(M19&lt;&gt;0,+H19-M19,0)</f>
        <v>0</v>
      </c>
      <c r="O19" s="504">
        <f>+N19-L19</f>
        <v>0</v>
      </c>
      <c r="P19" s="278"/>
      <c r="R19" s="243"/>
      <c r="S19" s="243"/>
      <c r="T19" s="243"/>
      <c r="U19" s="243"/>
    </row>
    <row r="20" spans="2:21">
      <c r="B20" s="145" t="str">
        <f t="shared" si="0"/>
        <v/>
      </c>
      <c r="C20" s="495">
        <f>IF(D11="","-",+C19+1)</f>
        <v>2018</v>
      </c>
      <c r="D20" s="617">
        <v>8116890.787821224</v>
      </c>
      <c r="E20" s="617">
        <v>209319.85738284502</v>
      </c>
      <c r="F20" s="617">
        <v>7907570.9304383788</v>
      </c>
      <c r="G20" s="617">
        <v>1023551.998916439</v>
      </c>
      <c r="H20" s="617">
        <v>1023551.998916439</v>
      </c>
      <c r="I20" s="500">
        <v>0</v>
      </c>
      <c r="J20" s="500"/>
      <c r="K20" s="506">
        <f t="shared" si="1"/>
        <v>1023551.998916439</v>
      </c>
      <c r="L20" s="507">
        <f t="shared" si="2"/>
        <v>0</v>
      </c>
      <c r="M20" s="506">
        <f t="shared" si="3"/>
        <v>1023551.998916439</v>
      </c>
      <c r="N20" s="504">
        <f>IF(M20&lt;&gt;0,+H20-M20,0)</f>
        <v>0</v>
      </c>
      <c r="O20" s="504">
        <f>+N20-L20</f>
        <v>0</v>
      </c>
      <c r="P20" s="278"/>
      <c r="R20" s="243"/>
      <c r="S20" s="243"/>
      <c r="T20" s="243"/>
      <c r="U20" s="243"/>
    </row>
    <row r="21" spans="2:21">
      <c r="B21" s="145" t="str">
        <f t="shared" si="0"/>
        <v/>
      </c>
      <c r="C21" s="495">
        <f>IF(D11="","-",+C20+1)</f>
        <v>2019</v>
      </c>
      <c r="D21" s="617">
        <v>7907570.9304383788</v>
      </c>
      <c r="E21" s="617">
        <v>253141.34300077427</v>
      </c>
      <c r="F21" s="617">
        <v>7654429.5874376046</v>
      </c>
      <c r="G21" s="617">
        <v>1061867.1098044377</v>
      </c>
      <c r="H21" s="617">
        <v>1061867.1098044377</v>
      </c>
      <c r="I21" s="500">
        <f t="shared" si="6"/>
        <v>0</v>
      </c>
      <c r="J21" s="500"/>
      <c r="K21" s="506">
        <f t="shared" si="1"/>
        <v>1061867.1098044377</v>
      </c>
      <c r="L21" s="507">
        <f t="shared" si="2"/>
        <v>0</v>
      </c>
      <c r="M21" s="506">
        <f t="shared" si="3"/>
        <v>1061867.1098044377</v>
      </c>
      <c r="N21" s="504">
        <f>IF(M21&lt;&gt;0,+H21-M21,0)</f>
        <v>0</v>
      </c>
      <c r="O21" s="504">
        <f>+N21-L21</f>
        <v>0</v>
      </c>
      <c r="P21" s="278"/>
      <c r="R21" s="243"/>
      <c r="S21" s="243"/>
      <c r="T21" s="243"/>
      <c r="U21" s="243"/>
    </row>
    <row r="22" spans="2:21">
      <c r="B22" s="145" t="str">
        <f t="shared" si="0"/>
        <v>IU</v>
      </c>
      <c r="C22" s="495">
        <f>IF(D11="","-",+C21+1)</f>
        <v>2020</v>
      </c>
      <c r="D22" s="617">
        <v>7698251.0730555337</v>
      </c>
      <c r="E22" s="617">
        <v>249923.04161572127</v>
      </c>
      <c r="F22" s="617">
        <v>7448328.0314398129</v>
      </c>
      <c r="G22" s="617">
        <v>1044606.9924692181</v>
      </c>
      <c r="H22" s="617">
        <v>1044606.9924692181</v>
      </c>
      <c r="I22" s="500">
        <f t="shared" si="6"/>
        <v>0</v>
      </c>
      <c r="J22" s="500"/>
      <c r="K22" s="506">
        <f t="shared" si="1"/>
        <v>1044606.9924692181</v>
      </c>
      <c r="L22" s="507">
        <f t="shared" si="2"/>
        <v>0</v>
      </c>
      <c r="M22" s="506">
        <f t="shared" si="3"/>
        <v>1044606.9924692181</v>
      </c>
      <c r="N22" s="504">
        <f>IF(M22&lt;&gt;0,+H22-M22,0)</f>
        <v>0</v>
      </c>
      <c r="O22" s="504">
        <f>+N22-L22</f>
        <v>0</v>
      </c>
      <c r="P22" s="278"/>
      <c r="R22" s="243"/>
      <c r="S22" s="243"/>
      <c r="T22" s="243"/>
      <c r="U22" s="243"/>
    </row>
    <row r="23" spans="2:21">
      <c r="B23" s="145" t="str">
        <f t="shared" si="0"/>
        <v>IU</v>
      </c>
      <c r="C23" s="495">
        <f>IF(D11="","-",+C22+1)</f>
        <v>2021</v>
      </c>
      <c r="D23" s="617">
        <v>7404506.5458218828</v>
      </c>
      <c r="E23" s="617">
        <v>275325.93548387097</v>
      </c>
      <c r="F23" s="617">
        <v>7129180.6103380118</v>
      </c>
      <c r="G23" s="617">
        <v>1061489.8962062567</v>
      </c>
      <c r="H23" s="617">
        <v>1061489.8962062567</v>
      </c>
      <c r="I23" s="500">
        <f t="shared" si="6"/>
        <v>0</v>
      </c>
      <c r="J23" s="500"/>
      <c r="K23" s="506">
        <f t="shared" ref="K23" si="7">G23</f>
        <v>1061489.8962062567</v>
      </c>
      <c r="L23" s="507">
        <f t="shared" ref="L23" si="8">IF(K23&lt;&gt;0,+G23-K23,0)</f>
        <v>0</v>
      </c>
      <c r="M23" s="506">
        <f t="shared" ref="M23" si="9">H23</f>
        <v>1061489.8962062567</v>
      </c>
      <c r="N23" s="504">
        <f t="shared" si="4"/>
        <v>0</v>
      </c>
      <c r="O23" s="504">
        <f t="shared" si="5"/>
        <v>0</v>
      </c>
      <c r="P23" s="278"/>
      <c r="R23" s="243"/>
      <c r="S23" s="243"/>
      <c r="T23" s="243"/>
      <c r="U23" s="243"/>
    </row>
    <row r="24" spans="2:21">
      <c r="B24" s="145" t="str">
        <f t="shared" si="0"/>
        <v/>
      </c>
      <c r="C24" s="495">
        <f>IF(D11="","-",+C23+1)</f>
        <v>2022</v>
      </c>
      <c r="D24" s="508">
        <f>IF(F23+SUM(E$17:E23)=D$10,F23,D$10-SUM(E$17:E23))</f>
        <v>7129180.6103380118</v>
      </c>
      <c r="E24" s="509">
        <f t="shared" ref="E24:E73" si="10">IF(+$I$14&lt;F23,$I$14,D24)</f>
        <v>258639.51515151514</v>
      </c>
      <c r="F24" s="510">
        <f t="shared" ref="F24:F73" si="11">+D24-E24</f>
        <v>6870541.0951864962</v>
      </c>
      <c r="G24" s="511">
        <f t="shared" ref="G24:G73" si="12">(D24+F24)/2*I$12+E24</f>
        <v>1061934.9640688223</v>
      </c>
      <c r="H24" s="477">
        <f t="shared" ref="H24:H73" si="13">+(D24+F24)/2*I$13+E24</f>
        <v>1061934.9640688223</v>
      </c>
      <c r="I24" s="500">
        <f t="shared" si="6"/>
        <v>0</v>
      </c>
      <c r="J24" s="500"/>
      <c r="K24" s="512"/>
      <c r="L24" s="504">
        <f t="shared" ref="L24:L73" si="14">IF(K24&lt;&gt;0,+G24-K24,0)</f>
        <v>0</v>
      </c>
      <c r="M24" s="512"/>
      <c r="N24" s="504">
        <f t="shared" si="4"/>
        <v>0</v>
      </c>
      <c r="O24" s="504">
        <f t="shared" si="5"/>
        <v>0</v>
      </c>
      <c r="P24" s="278"/>
      <c r="R24" s="243"/>
      <c r="S24" s="243"/>
      <c r="T24" s="243"/>
      <c r="U24" s="243"/>
    </row>
    <row r="25" spans="2:21">
      <c r="B25" s="145" t="str">
        <f t="shared" si="0"/>
        <v/>
      </c>
      <c r="C25" s="495">
        <f>IF(D11="","-",+C24+1)</f>
        <v>2023</v>
      </c>
      <c r="D25" s="508">
        <f>IF(F24+SUM(E$17:E24)=D$10,F24,D$10-SUM(E$17:E24))</f>
        <v>6870541.0951864962</v>
      </c>
      <c r="E25" s="509">
        <f t="shared" si="10"/>
        <v>258639.51515151514</v>
      </c>
      <c r="F25" s="510">
        <f t="shared" si="11"/>
        <v>6611901.5800349806</v>
      </c>
      <c r="G25" s="511">
        <f t="shared" si="12"/>
        <v>1032253.810428546</v>
      </c>
      <c r="H25" s="477">
        <f t="shared" si="13"/>
        <v>1032253.810428546</v>
      </c>
      <c r="I25" s="500">
        <f t="shared" si="6"/>
        <v>0</v>
      </c>
      <c r="J25" s="500"/>
      <c r="K25" s="512"/>
      <c r="L25" s="504">
        <f t="shared" si="14"/>
        <v>0</v>
      </c>
      <c r="M25" s="512"/>
      <c r="N25" s="504">
        <f t="shared" si="4"/>
        <v>0</v>
      </c>
      <c r="O25" s="504">
        <f t="shared" si="5"/>
        <v>0</v>
      </c>
      <c r="P25" s="278"/>
      <c r="R25" s="243"/>
      <c r="S25" s="243"/>
      <c r="T25" s="243"/>
      <c r="U25" s="243"/>
    </row>
    <row r="26" spans="2:21">
      <c r="B26" s="145" t="str">
        <f t="shared" si="0"/>
        <v/>
      </c>
      <c r="C26" s="495">
        <f>IF(D11="","-",+C25+1)</f>
        <v>2024</v>
      </c>
      <c r="D26" s="508">
        <f>IF(F25+SUM(E$17:E25)=D$10,F25,D$10-SUM(E$17:E25))</f>
        <v>6611901.5800349806</v>
      </c>
      <c r="E26" s="509">
        <f t="shared" si="10"/>
        <v>258639.51515151514</v>
      </c>
      <c r="F26" s="510">
        <f t="shared" si="11"/>
        <v>6353262.0648834649</v>
      </c>
      <c r="G26" s="511">
        <f t="shared" si="12"/>
        <v>1002572.6567882699</v>
      </c>
      <c r="H26" s="477">
        <f t="shared" si="13"/>
        <v>1002572.6567882699</v>
      </c>
      <c r="I26" s="500">
        <f t="shared" si="6"/>
        <v>0</v>
      </c>
      <c r="J26" s="500"/>
      <c r="K26" s="512"/>
      <c r="L26" s="504">
        <f t="shared" si="14"/>
        <v>0</v>
      </c>
      <c r="M26" s="512"/>
      <c r="N26" s="504">
        <f t="shared" si="4"/>
        <v>0</v>
      </c>
      <c r="O26" s="504">
        <f t="shared" si="5"/>
        <v>0</v>
      </c>
      <c r="P26" s="278"/>
      <c r="R26" s="243"/>
      <c r="S26" s="243"/>
      <c r="T26" s="243"/>
      <c r="U26" s="243"/>
    </row>
    <row r="27" spans="2:21">
      <c r="B27" s="145" t="str">
        <f t="shared" si="0"/>
        <v/>
      </c>
      <c r="C27" s="495">
        <f>IF(D11="","-",+C26+1)</f>
        <v>2025</v>
      </c>
      <c r="D27" s="508">
        <f>IF(F26+SUM(E$17:E26)=D$10,F26,D$10-SUM(E$17:E26))</f>
        <v>6353262.0648834649</v>
      </c>
      <c r="E27" s="509">
        <f t="shared" si="10"/>
        <v>258639.51515151514</v>
      </c>
      <c r="F27" s="510">
        <f t="shared" si="11"/>
        <v>6094622.5497319493</v>
      </c>
      <c r="G27" s="511">
        <f t="shared" si="12"/>
        <v>972891.5031479937</v>
      </c>
      <c r="H27" s="477">
        <f t="shared" si="13"/>
        <v>972891.5031479937</v>
      </c>
      <c r="I27" s="500">
        <f t="shared" si="6"/>
        <v>0</v>
      </c>
      <c r="J27" s="500"/>
      <c r="K27" s="512"/>
      <c r="L27" s="504">
        <f t="shared" si="14"/>
        <v>0</v>
      </c>
      <c r="M27" s="512"/>
      <c r="N27" s="504">
        <f t="shared" si="4"/>
        <v>0</v>
      </c>
      <c r="O27" s="504">
        <f t="shared" si="5"/>
        <v>0</v>
      </c>
      <c r="P27" s="278"/>
      <c r="R27" s="243"/>
      <c r="S27" s="243"/>
      <c r="T27" s="243"/>
      <c r="U27" s="243"/>
    </row>
    <row r="28" spans="2:21">
      <c r="B28" s="145" t="str">
        <f t="shared" si="0"/>
        <v/>
      </c>
      <c r="C28" s="495">
        <f>IF(D11="","-",+C27+1)</f>
        <v>2026</v>
      </c>
      <c r="D28" s="508">
        <f>IF(F27+SUM(E$17:E27)=D$10,F27,D$10-SUM(E$17:E27))</f>
        <v>6094622.5497319493</v>
      </c>
      <c r="E28" s="509">
        <f t="shared" si="10"/>
        <v>258639.51515151514</v>
      </c>
      <c r="F28" s="510">
        <f t="shared" si="11"/>
        <v>5835983.0345804337</v>
      </c>
      <c r="G28" s="511">
        <f t="shared" si="12"/>
        <v>943210.34950771742</v>
      </c>
      <c r="H28" s="477">
        <f t="shared" si="13"/>
        <v>943210.34950771742</v>
      </c>
      <c r="I28" s="500">
        <f t="shared" si="6"/>
        <v>0</v>
      </c>
      <c r="J28" s="500"/>
      <c r="K28" s="512"/>
      <c r="L28" s="504">
        <f t="shared" si="14"/>
        <v>0</v>
      </c>
      <c r="M28" s="512"/>
      <c r="N28" s="504">
        <f t="shared" si="4"/>
        <v>0</v>
      </c>
      <c r="O28" s="504">
        <f t="shared" si="5"/>
        <v>0</v>
      </c>
      <c r="P28" s="278"/>
      <c r="R28" s="243"/>
      <c r="S28" s="243"/>
      <c r="T28" s="243"/>
      <c r="U28" s="243"/>
    </row>
    <row r="29" spans="2:21">
      <c r="B29" s="145" t="str">
        <f t="shared" si="0"/>
        <v/>
      </c>
      <c r="C29" s="495">
        <f>IF(D11="","-",+C28+1)</f>
        <v>2027</v>
      </c>
      <c r="D29" s="508">
        <f>IF(F28+SUM(E$17:E28)=D$10,F28,D$10-SUM(E$17:E28))</f>
        <v>5835983.0345804337</v>
      </c>
      <c r="E29" s="509">
        <f t="shared" si="10"/>
        <v>258639.51515151514</v>
      </c>
      <c r="F29" s="510">
        <f t="shared" si="11"/>
        <v>5577343.5194289181</v>
      </c>
      <c r="G29" s="511">
        <f t="shared" si="12"/>
        <v>913529.19586744125</v>
      </c>
      <c r="H29" s="477">
        <f t="shared" si="13"/>
        <v>913529.19586744125</v>
      </c>
      <c r="I29" s="500">
        <f t="shared" si="6"/>
        <v>0</v>
      </c>
      <c r="J29" s="500"/>
      <c r="K29" s="512"/>
      <c r="L29" s="504">
        <f t="shared" si="14"/>
        <v>0</v>
      </c>
      <c r="M29" s="512"/>
      <c r="N29" s="504">
        <f t="shared" si="4"/>
        <v>0</v>
      </c>
      <c r="O29" s="504">
        <f t="shared" si="5"/>
        <v>0</v>
      </c>
      <c r="P29" s="278"/>
      <c r="R29" s="243"/>
      <c r="S29" s="243"/>
      <c r="T29" s="243"/>
      <c r="U29" s="243"/>
    </row>
    <row r="30" spans="2:21">
      <c r="B30" s="145" t="str">
        <f t="shared" si="0"/>
        <v/>
      </c>
      <c r="C30" s="495">
        <f>IF(D11="","-",+C29+1)</f>
        <v>2028</v>
      </c>
      <c r="D30" s="508">
        <f>IF(F29+SUM(E$17:E29)=D$10,F29,D$10-SUM(E$17:E29))</f>
        <v>5577343.5194289181</v>
      </c>
      <c r="E30" s="509">
        <f t="shared" si="10"/>
        <v>258639.51515151514</v>
      </c>
      <c r="F30" s="510">
        <f t="shared" si="11"/>
        <v>5318704.0042774025</v>
      </c>
      <c r="G30" s="511">
        <f t="shared" si="12"/>
        <v>883848.04222716496</v>
      </c>
      <c r="H30" s="477">
        <f t="shared" si="13"/>
        <v>883848.04222716496</v>
      </c>
      <c r="I30" s="500">
        <f t="shared" si="6"/>
        <v>0</v>
      </c>
      <c r="J30" s="500"/>
      <c r="K30" s="512"/>
      <c r="L30" s="504">
        <f t="shared" si="14"/>
        <v>0</v>
      </c>
      <c r="M30" s="512"/>
      <c r="N30" s="504">
        <f t="shared" si="4"/>
        <v>0</v>
      </c>
      <c r="O30" s="504">
        <f t="shared" si="5"/>
        <v>0</v>
      </c>
      <c r="P30" s="278"/>
      <c r="R30" s="243"/>
      <c r="S30" s="243"/>
      <c r="T30" s="243"/>
      <c r="U30" s="243"/>
    </row>
    <row r="31" spans="2:21">
      <c r="B31" s="145" t="str">
        <f>IF(D31=F30,"","IU")</f>
        <v/>
      </c>
      <c r="C31" s="495">
        <f>IF(D11="","-",+C30+1)</f>
        <v>2029</v>
      </c>
      <c r="D31" s="508">
        <f>IF(F30+SUM(E$17:E30)=D$10,F30,D$10-SUM(E$17:E30))</f>
        <v>5318704.0042774025</v>
      </c>
      <c r="E31" s="509">
        <f t="shared" si="10"/>
        <v>258639.51515151514</v>
      </c>
      <c r="F31" s="510">
        <f t="shared" si="11"/>
        <v>5060064.4891258869</v>
      </c>
      <c r="G31" s="511">
        <f t="shared" si="12"/>
        <v>854166.88858688879</v>
      </c>
      <c r="H31" s="477">
        <f t="shared" si="13"/>
        <v>854166.88858688879</v>
      </c>
      <c r="I31" s="500">
        <f t="shared" si="6"/>
        <v>0</v>
      </c>
      <c r="J31" s="500"/>
      <c r="K31" s="512"/>
      <c r="L31" s="504">
        <f t="shared" si="14"/>
        <v>0</v>
      </c>
      <c r="M31" s="512"/>
      <c r="N31" s="504">
        <f t="shared" si="4"/>
        <v>0</v>
      </c>
      <c r="O31" s="504">
        <f t="shared" si="5"/>
        <v>0</v>
      </c>
      <c r="P31" s="278"/>
      <c r="Q31" s="220"/>
      <c r="R31" s="278"/>
      <c r="S31" s="278"/>
      <c r="T31" s="278"/>
      <c r="U31" s="243"/>
    </row>
    <row r="32" spans="2:21">
      <c r="B32" s="145" t="str">
        <f t="shared" ref="B32:B46" si="15">IF(D32=F31,"","IU")</f>
        <v/>
      </c>
      <c r="C32" s="495">
        <f>IF(D12="","-",+C31+1)</f>
        <v>2030</v>
      </c>
      <c r="D32" s="508">
        <f>IF(F31+SUM(E$17:E31)=D$10,F31,D$10-SUM(E$17:E31))</f>
        <v>5060064.4891258869</v>
      </c>
      <c r="E32" s="509">
        <f>IF(+$I$14&lt;F31,$I$14,D32)</f>
        <v>258639.51515151514</v>
      </c>
      <c r="F32" s="510">
        <f>+D32-E32</f>
        <v>4801424.9739743713</v>
      </c>
      <c r="G32" s="511">
        <f t="shared" si="12"/>
        <v>824485.7349466125</v>
      </c>
      <c r="H32" s="477">
        <f t="shared" si="13"/>
        <v>824485.7349466125</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15"/>
        <v/>
      </c>
      <c r="C33" s="495">
        <f>IF(D13="","-",+C32+1)</f>
        <v>2031</v>
      </c>
      <c r="D33" s="508">
        <f>IF(F32+SUM(E$17:E32)=D$10,F32,D$10-SUM(E$17:E32))</f>
        <v>4801424.9739743713</v>
      </c>
      <c r="E33" s="509">
        <f>IF(+$I$14&lt;F32,$I$14,D33)</f>
        <v>258639.51515151514</v>
      </c>
      <c r="F33" s="510">
        <f>+D33-E33</f>
        <v>4542785.4588228557</v>
      </c>
      <c r="G33" s="511">
        <f t="shared" si="12"/>
        <v>794804.58130633633</v>
      </c>
      <c r="H33" s="477">
        <f t="shared" si="13"/>
        <v>794804.58130633633</v>
      </c>
      <c r="I33" s="500">
        <f>H33-G33</f>
        <v>0</v>
      </c>
      <c r="J33" s="500"/>
      <c r="K33" s="512"/>
      <c r="L33" s="504">
        <f>IF(K33&lt;&gt;0,+G33-K33,0)</f>
        <v>0</v>
      </c>
      <c r="M33" s="512"/>
      <c r="N33" s="504">
        <f>IF(M33&lt;&gt;0,+H33-M33,0)</f>
        <v>0</v>
      </c>
      <c r="O33" s="504">
        <f>+N33-L33</f>
        <v>0</v>
      </c>
      <c r="P33" s="278"/>
      <c r="R33" s="243"/>
      <c r="S33" s="243"/>
      <c r="T33" s="243"/>
      <c r="U33" s="243"/>
    </row>
    <row r="34" spans="2:21">
      <c r="B34" s="145" t="str">
        <f t="shared" si="15"/>
        <v/>
      </c>
      <c r="C34" s="495">
        <f t="shared" ref="C34:C42" si="16">IF(D14="","-",+C33+1)</f>
        <v>2032</v>
      </c>
      <c r="D34" s="514">
        <f>IF(F33+SUM(E$17:E33)=D$10,F33,D$10-SUM(E$17:E33))</f>
        <v>4542785.4588228613</v>
      </c>
      <c r="E34" s="515">
        <f t="shared" si="10"/>
        <v>258639.51515151514</v>
      </c>
      <c r="F34" s="516">
        <f t="shared" si="11"/>
        <v>4284145.9436713457</v>
      </c>
      <c r="G34" s="511">
        <f t="shared" si="12"/>
        <v>765123.42766606074</v>
      </c>
      <c r="H34" s="477">
        <f t="shared" si="13"/>
        <v>765123.42766606074</v>
      </c>
      <c r="I34" s="519">
        <f t="shared" si="6"/>
        <v>0</v>
      </c>
      <c r="J34" s="519"/>
      <c r="K34" s="520"/>
      <c r="L34" s="521">
        <f t="shared" si="14"/>
        <v>0</v>
      </c>
      <c r="M34" s="520"/>
      <c r="N34" s="521">
        <f t="shared" si="4"/>
        <v>0</v>
      </c>
      <c r="O34" s="521">
        <f t="shared" si="5"/>
        <v>0</v>
      </c>
      <c r="P34" s="522"/>
      <c r="Q34" s="216"/>
      <c r="R34" s="522"/>
      <c r="S34" s="522"/>
      <c r="T34" s="522"/>
      <c r="U34" s="243"/>
    </row>
    <row r="35" spans="2:21">
      <c r="B35" s="145" t="str">
        <f t="shared" si="15"/>
        <v/>
      </c>
      <c r="C35" s="495">
        <f t="shared" si="16"/>
        <v>2033</v>
      </c>
      <c r="D35" s="508">
        <f>IF(F34+SUM(E$17:E34)=D$10,F34,D$10-SUM(E$17:E34))</f>
        <v>4284145.9436713457</v>
      </c>
      <c r="E35" s="509">
        <f t="shared" si="10"/>
        <v>258639.51515151514</v>
      </c>
      <c r="F35" s="510">
        <f t="shared" si="11"/>
        <v>4025506.4285198306</v>
      </c>
      <c r="G35" s="511">
        <f t="shared" si="12"/>
        <v>735442.27402578457</v>
      </c>
      <c r="H35" s="477">
        <f t="shared" si="13"/>
        <v>735442.27402578457</v>
      </c>
      <c r="I35" s="500">
        <f t="shared" si="6"/>
        <v>0</v>
      </c>
      <c r="J35" s="500"/>
      <c r="K35" s="512"/>
      <c r="L35" s="504">
        <f t="shared" si="14"/>
        <v>0</v>
      </c>
      <c r="M35" s="512"/>
      <c r="N35" s="504">
        <f t="shared" si="4"/>
        <v>0</v>
      </c>
      <c r="O35" s="504">
        <f t="shared" si="5"/>
        <v>0</v>
      </c>
      <c r="P35" s="278"/>
      <c r="R35" s="243"/>
      <c r="S35" s="243"/>
      <c r="T35" s="243"/>
      <c r="U35" s="243"/>
    </row>
    <row r="36" spans="2:21">
      <c r="B36" s="145" t="str">
        <f t="shared" si="15"/>
        <v/>
      </c>
      <c r="C36" s="495">
        <f t="shared" si="16"/>
        <v>2034</v>
      </c>
      <c r="D36" s="508">
        <f>IF(F35+SUM(E$17:E35)=D$10,F35,D$10-SUM(E$17:E35))</f>
        <v>4025506.4285198306</v>
      </c>
      <c r="E36" s="509">
        <f t="shared" si="10"/>
        <v>258639.51515151514</v>
      </c>
      <c r="F36" s="510">
        <f t="shared" si="11"/>
        <v>3766866.9133683154</v>
      </c>
      <c r="G36" s="511">
        <f t="shared" si="12"/>
        <v>705761.1203855084</v>
      </c>
      <c r="H36" s="477">
        <f t="shared" si="13"/>
        <v>705761.1203855084</v>
      </c>
      <c r="I36" s="500">
        <f t="shared" si="6"/>
        <v>0</v>
      </c>
      <c r="J36" s="500"/>
      <c r="K36" s="512"/>
      <c r="L36" s="504">
        <f t="shared" si="14"/>
        <v>0</v>
      </c>
      <c r="M36" s="512"/>
      <c r="N36" s="504">
        <f t="shared" si="4"/>
        <v>0</v>
      </c>
      <c r="O36" s="504">
        <f t="shared" si="5"/>
        <v>0</v>
      </c>
      <c r="P36" s="278"/>
      <c r="R36" s="243"/>
      <c r="S36" s="243"/>
      <c r="T36" s="243"/>
      <c r="U36" s="243"/>
    </row>
    <row r="37" spans="2:21">
      <c r="B37" s="145" t="str">
        <f t="shared" si="15"/>
        <v/>
      </c>
      <c r="C37" s="495">
        <f t="shared" si="16"/>
        <v>2035</v>
      </c>
      <c r="D37" s="508">
        <f>IF(F36+SUM(E$17:E36)=D$10,F36,D$10-SUM(E$17:E36))</f>
        <v>3766866.9133683154</v>
      </c>
      <c r="E37" s="509">
        <f t="shared" si="10"/>
        <v>258639.51515151514</v>
      </c>
      <c r="F37" s="510">
        <f t="shared" si="11"/>
        <v>3508227.3982168003</v>
      </c>
      <c r="G37" s="511">
        <f t="shared" si="12"/>
        <v>676079.96674523223</v>
      </c>
      <c r="H37" s="477">
        <f t="shared" si="13"/>
        <v>676079.96674523223</v>
      </c>
      <c r="I37" s="500">
        <f t="shared" si="6"/>
        <v>0</v>
      </c>
      <c r="J37" s="500"/>
      <c r="K37" s="512"/>
      <c r="L37" s="504">
        <f t="shared" si="14"/>
        <v>0</v>
      </c>
      <c r="M37" s="512"/>
      <c r="N37" s="504">
        <f t="shared" si="4"/>
        <v>0</v>
      </c>
      <c r="O37" s="504">
        <f t="shared" si="5"/>
        <v>0</v>
      </c>
      <c r="P37" s="278"/>
      <c r="R37" s="243"/>
      <c r="S37" s="243"/>
      <c r="T37" s="243"/>
      <c r="U37" s="243"/>
    </row>
    <row r="38" spans="2:21">
      <c r="B38" s="145" t="str">
        <f t="shared" si="15"/>
        <v/>
      </c>
      <c r="C38" s="495">
        <f t="shared" si="16"/>
        <v>2036</v>
      </c>
      <c r="D38" s="508">
        <f>IF(F37+SUM(E$17:E37)=D$10,F37,D$10-SUM(E$17:E37))</f>
        <v>3508227.3982168003</v>
      </c>
      <c r="E38" s="509">
        <f t="shared" si="10"/>
        <v>258639.51515151514</v>
      </c>
      <c r="F38" s="510">
        <f t="shared" si="11"/>
        <v>3249587.8830652852</v>
      </c>
      <c r="G38" s="511">
        <f t="shared" si="12"/>
        <v>646398.81310495606</v>
      </c>
      <c r="H38" s="477">
        <f t="shared" si="13"/>
        <v>646398.81310495606</v>
      </c>
      <c r="I38" s="500">
        <f t="shared" si="6"/>
        <v>0</v>
      </c>
      <c r="J38" s="500"/>
      <c r="K38" s="512"/>
      <c r="L38" s="504">
        <f t="shared" si="14"/>
        <v>0</v>
      </c>
      <c r="M38" s="512"/>
      <c r="N38" s="504">
        <f t="shared" si="4"/>
        <v>0</v>
      </c>
      <c r="O38" s="504">
        <f t="shared" si="5"/>
        <v>0</v>
      </c>
      <c r="P38" s="278"/>
      <c r="R38" s="243"/>
      <c r="S38" s="243"/>
      <c r="T38" s="243"/>
      <c r="U38" s="243"/>
    </row>
    <row r="39" spans="2:21">
      <c r="B39" s="145" t="str">
        <f t="shared" si="15"/>
        <v/>
      </c>
      <c r="C39" s="495">
        <f t="shared" si="16"/>
        <v>2037</v>
      </c>
      <c r="D39" s="508">
        <f>IF(F38+SUM(E$17:E38)=D$10,F38,D$10-SUM(E$17:E38))</f>
        <v>3249587.8830652852</v>
      </c>
      <c r="E39" s="509">
        <f t="shared" si="10"/>
        <v>258639.51515151514</v>
      </c>
      <c r="F39" s="510">
        <f t="shared" si="11"/>
        <v>2990948.36791377</v>
      </c>
      <c r="G39" s="511">
        <f t="shared" si="12"/>
        <v>616717.65946467989</v>
      </c>
      <c r="H39" s="477">
        <f t="shared" si="13"/>
        <v>616717.65946467989</v>
      </c>
      <c r="I39" s="500">
        <f t="shared" si="6"/>
        <v>0</v>
      </c>
      <c r="J39" s="500"/>
      <c r="K39" s="512"/>
      <c r="L39" s="504">
        <f t="shared" si="14"/>
        <v>0</v>
      </c>
      <c r="M39" s="512"/>
      <c r="N39" s="504">
        <f t="shared" si="4"/>
        <v>0</v>
      </c>
      <c r="O39" s="504">
        <f t="shared" si="5"/>
        <v>0</v>
      </c>
      <c r="P39" s="278"/>
      <c r="R39" s="243"/>
      <c r="S39" s="243"/>
      <c r="T39" s="243"/>
      <c r="U39" s="243"/>
    </row>
    <row r="40" spans="2:21">
      <c r="B40" s="145" t="str">
        <f t="shared" si="15"/>
        <v/>
      </c>
      <c r="C40" s="495">
        <f t="shared" si="16"/>
        <v>2038</v>
      </c>
      <c r="D40" s="508">
        <f>IF(F39+SUM(E$17:E39)=D$10,F39,D$10-SUM(E$17:E39))</f>
        <v>2990948.36791377</v>
      </c>
      <c r="E40" s="509">
        <f t="shared" si="10"/>
        <v>258639.51515151514</v>
      </c>
      <c r="F40" s="510">
        <f t="shared" si="11"/>
        <v>2732308.8527622549</v>
      </c>
      <c r="G40" s="511">
        <f t="shared" si="12"/>
        <v>587036.50582440372</v>
      </c>
      <c r="H40" s="477">
        <f t="shared" si="13"/>
        <v>587036.50582440372</v>
      </c>
      <c r="I40" s="500">
        <f t="shared" si="6"/>
        <v>0</v>
      </c>
      <c r="J40" s="500"/>
      <c r="K40" s="512"/>
      <c r="L40" s="504">
        <f t="shared" si="14"/>
        <v>0</v>
      </c>
      <c r="M40" s="512"/>
      <c r="N40" s="504">
        <f t="shared" si="4"/>
        <v>0</v>
      </c>
      <c r="O40" s="504">
        <f t="shared" si="5"/>
        <v>0</v>
      </c>
      <c r="P40" s="278"/>
      <c r="R40" s="243"/>
      <c r="S40" s="243"/>
      <c r="T40" s="243"/>
      <c r="U40" s="243"/>
    </row>
    <row r="41" spans="2:21">
      <c r="B41" s="145" t="str">
        <f t="shared" si="15"/>
        <v/>
      </c>
      <c r="C41" s="495">
        <f t="shared" si="16"/>
        <v>2039</v>
      </c>
      <c r="D41" s="508">
        <f>IF(F40+SUM(E$17:E40)=D$10,F40,D$10-SUM(E$17:E40))</f>
        <v>2732308.8527622549</v>
      </c>
      <c r="E41" s="509">
        <f t="shared" si="10"/>
        <v>258639.51515151514</v>
      </c>
      <c r="F41" s="510">
        <f t="shared" si="11"/>
        <v>2473669.3376107397</v>
      </c>
      <c r="G41" s="511">
        <f t="shared" si="12"/>
        <v>557355.35218412755</v>
      </c>
      <c r="H41" s="477">
        <f t="shared" si="13"/>
        <v>557355.35218412755</v>
      </c>
      <c r="I41" s="500">
        <f t="shared" si="6"/>
        <v>0</v>
      </c>
      <c r="J41" s="500"/>
      <c r="K41" s="512"/>
      <c r="L41" s="504">
        <f t="shared" si="14"/>
        <v>0</v>
      </c>
      <c r="M41" s="512"/>
      <c r="N41" s="504">
        <f t="shared" si="4"/>
        <v>0</v>
      </c>
      <c r="O41" s="504">
        <f t="shared" si="5"/>
        <v>0</v>
      </c>
      <c r="P41" s="278"/>
      <c r="R41" s="243"/>
      <c r="S41" s="243"/>
      <c r="T41" s="243"/>
      <c r="U41" s="243"/>
    </row>
    <row r="42" spans="2:21">
      <c r="B42" s="145" t="str">
        <f t="shared" si="15"/>
        <v/>
      </c>
      <c r="C42" s="495">
        <f t="shared" si="16"/>
        <v>2040</v>
      </c>
      <c r="D42" s="508">
        <f>IF(F41+SUM(E$17:E41)=D$10,F41,D$10-SUM(E$17:E41))</f>
        <v>2473669.3376107397</v>
      </c>
      <c r="E42" s="509">
        <f t="shared" si="10"/>
        <v>258639.51515151514</v>
      </c>
      <c r="F42" s="510">
        <f t="shared" si="11"/>
        <v>2215029.8224592246</v>
      </c>
      <c r="G42" s="511">
        <f t="shared" si="12"/>
        <v>527674.19854385138</v>
      </c>
      <c r="H42" s="477">
        <f t="shared" si="13"/>
        <v>527674.19854385138</v>
      </c>
      <c r="I42" s="500">
        <f t="shared" si="6"/>
        <v>0</v>
      </c>
      <c r="J42" s="500"/>
      <c r="K42" s="512"/>
      <c r="L42" s="504">
        <f t="shared" si="14"/>
        <v>0</v>
      </c>
      <c r="M42" s="512"/>
      <c r="N42" s="504">
        <f t="shared" si="4"/>
        <v>0</v>
      </c>
      <c r="O42" s="504">
        <f t="shared" si="5"/>
        <v>0</v>
      </c>
      <c r="P42" s="278"/>
      <c r="R42" s="243"/>
      <c r="S42" s="243"/>
      <c r="T42" s="243"/>
      <c r="U42" s="243"/>
    </row>
    <row r="43" spans="2:21">
      <c r="B43" s="145" t="str">
        <f t="shared" si="15"/>
        <v/>
      </c>
      <c r="C43" s="495">
        <f>IF(D11="","-",+C42+1)</f>
        <v>2041</v>
      </c>
      <c r="D43" s="508">
        <f>IF(F42+SUM(E$17:E42)=D$10,F42,D$10-SUM(E$17:E42))</f>
        <v>2215029.8224592246</v>
      </c>
      <c r="E43" s="509">
        <f t="shared" si="10"/>
        <v>258639.51515151514</v>
      </c>
      <c r="F43" s="510">
        <f t="shared" si="11"/>
        <v>1956390.3073077095</v>
      </c>
      <c r="G43" s="511">
        <f t="shared" si="12"/>
        <v>497993.04490357521</v>
      </c>
      <c r="H43" s="477">
        <f t="shared" si="13"/>
        <v>497993.04490357521</v>
      </c>
      <c r="I43" s="500">
        <f t="shared" si="6"/>
        <v>0</v>
      </c>
      <c r="J43" s="500"/>
      <c r="K43" s="512"/>
      <c r="L43" s="504">
        <f t="shared" si="14"/>
        <v>0</v>
      </c>
      <c r="M43" s="512"/>
      <c r="N43" s="504">
        <f t="shared" si="4"/>
        <v>0</v>
      </c>
      <c r="O43" s="504">
        <f t="shared" si="5"/>
        <v>0</v>
      </c>
      <c r="P43" s="278"/>
      <c r="R43" s="243"/>
      <c r="S43" s="243"/>
      <c r="T43" s="243"/>
      <c r="U43" s="243"/>
    </row>
    <row r="44" spans="2:21">
      <c r="B44" s="145" t="str">
        <f t="shared" si="15"/>
        <v/>
      </c>
      <c r="C44" s="495">
        <f>IF(D11="","-",+C43+1)</f>
        <v>2042</v>
      </c>
      <c r="D44" s="508">
        <f>IF(F43+SUM(E$17:E43)=D$10,F43,D$10-SUM(E$17:E43))</f>
        <v>1956390.3073077095</v>
      </c>
      <c r="E44" s="509">
        <f t="shared" si="10"/>
        <v>258639.51515151514</v>
      </c>
      <c r="F44" s="510">
        <f t="shared" si="11"/>
        <v>1697750.7921561943</v>
      </c>
      <c r="G44" s="511">
        <f t="shared" si="12"/>
        <v>468311.89126329904</v>
      </c>
      <c r="H44" s="477">
        <f t="shared" si="13"/>
        <v>468311.89126329904</v>
      </c>
      <c r="I44" s="500">
        <f t="shared" si="6"/>
        <v>0</v>
      </c>
      <c r="J44" s="500"/>
      <c r="K44" s="512"/>
      <c r="L44" s="504">
        <f t="shared" si="14"/>
        <v>0</v>
      </c>
      <c r="M44" s="512"/>
      <c r="N44" s="504">
        <f t="shared" si="4"/>
        <v>0</v>
      </c>
      <c r="O44" s="504">
        <f t="shared" si="5"/>
        <v>0</v>
      </c>
      <c r="P44" s="278"/>
      <c r="R44" s="243"/>
      <c r="S44" s="243"/>
      <c r="T44" s="243"/>
      <c r="U44" s="243"/>
    </row>
    <row r="45" spans="2:21">
      <c r="B45" s="145" t="str">
        <f t="shared" si="15"/>
        <v/>
      </c>
      <c r="C45" s="495">
        <f>IF(D11="","-",+C44+1)</f>
        <v>2043</v>
      </c>
      <c r="D45" s="508">
        <f>IF(F44+SUM(E$17:E44)=D$10,F44,D$10-SUM(E$17:E44))</f>
        <v>1697750.7921561943</v>
      </c>
      <c r="E45" s="509">
        <f t="shared" si="10"/>
        <v>258639.51515151514</v>
      </c>
      <c r="F45" s="510">
        <f t="shared" si="11"/>
        <v>1439111.2770046792</v>
      </c>
      <c r="G45" s="511">
        <f t="shared" si="12"/>
        <v>438630.73762302287</v>
      </c>
      <c r="H45" s="477">
        <f t="shared" si="13"/>
        <v>438630.73762302287</v>
      </c>
      <c r="I45" s="500">
        <f t="shared" si="6"/>
        <v>0</v>
      </c>
      <c r="J45" s="500"/>
      <c r="K45" s="512"/>
      <c r="L45" s="504">
        <f t="shared" si="14"/>
        <v>0</v>
      </c>
      <c r="M45" s="512"/>
      <c r="N45" s="504">
        <f t="shared" si="4"/>
        <v>0</v>
      </c>
      <c r="O45" s="504">
        <f t="shared" si="5"/>
        <v>0</v>
      </c>
      <c r="P45" s="278"/>
      <c r="R45" s="243"/>
      <c r="S45" s="243"/>
      <c r="T45" s="243"/>
      <c r="U45" s="243"/>
    </row>
    <row r="46" spans="2:21">
      <c r="B46" s="145" t="str">
        <f t="shared" si="15"/>
        <v>IU</v>
      </c>
      <c r="C46" s="495">
        <f>IF(D11="","-",+C45+1)</f>
        <v>2044</v>
      </c>
      <c r="D46" s="508">
        <f>IF(F45+SUM(E$17:E45)=D$10,F45,D$10-SUM(E$17:E45))</f>
        <v>1439111.2770046741</v>
      </c>
      <c r="E46" s="509">
        <f t="shared" si="10"/>
        <v>258639.51515151514</v>
      </c>
      <c r="F46" s="510">
        <f t="shared" si="11"/>
        <v>1180471.7618531589</v>
      </c>
      <c r="G46" s="511">
        <f t="shared" si="12"/>
        <v>408949.58398274612</v>
      </c>
      <c r="H46" s="477">
        <f t="shared" si="13"/>
        <v>408949.58398274612</v>
      </c>
      <c r="I46" s="500">
        <f t="shared" si="6"/>
        <v>0</v>
      </c>
      <c r="J46" s="500"/>
      <c r="K46" s="512"/>
      <c r="L46" s="504">
        <f t="shared" si="14"/>
        <v>0</v>
      </c>
      <c r="M46" s="512"/>
      <c r="N46" s="504">
        <f t="shared" si="4"/>
        <v>0</v>
      </c>
      <c r="O46" s="504">
        <f t="shared" si="5"/>
        <v>0</v>
      </c>
      <c r="P46" s="278"/>
      <c r="R46" s="243"/>
      <c r="S46" s="243"/>
      <c r="T46" s="243"/>
      <c r="U46" s="243"/>
    </row>
    <row r="47" spans="2:21">
      <c r="B47" s="145" t="str">
        <f t="shared" si="0"/>
        <v/>
      </c>
      <c r="C47" s="495">
        <f>IF(D11="","-",+C46+1)</f>
        <v>2045</v>
      </c>
      <c r="D47" s="508">
        <f>IF(F46+SUM(E$17:E46)=D$10,F46,D$10-SUM(E$17:E46))</f>
        <v>1180471.7618531589</v>
      </c>
      <c r="E47" s="509">
        <f t="shared" si="10"/>
        <v>258639.51515151514</v>
      </c>
      <c r="F47" s="510">
        <f t="shared" si="11"/>
        <v>921832.2467016438</v>
      </c>
      <c r="G47" s="511">
        <f t="shared" si="12"/>
        <v>379268.43034246995</v>
      </c>
      <c r="H47" s="477">
        <f t="shared" si="13"/>
        <v>379268.43034246995</v>
      </c>
      <c r="I47" s="500">
        <f t="shared" si="6"/>
        <v>0</v>
      </c>
      <c r="J47" s="500"/>
      <c r="K47" s="512"/>
      <c r="L47" s="504">
        <f t="shared" si="14"/>
        <v>0</v>
      </c>
      <c r="M47" s="512"/>
      <c r="N47" s="504">
        <f t="shared" si="4"/>
        <v>0</v>
      </c>
      <c r="O47" s="504">
        <f t="shared" si="5"/>
        <v>0</v>
      </c>
      <c r="P47" s="278"/>
      <c r="R47" s="243"/>
      <c r="S47" s="243"/>
      <c r="T47" s="243"/>
      <c r="U47" s="243"/>
    </row>
    <row r="48" spans="2:21">
      <c r="B48" s="145" t="str">
        <f t="shared" si="0"/>
        <v/>
      </c>
      <c r="C48" s="495">
        <f>IF(D11="","-",+C47+1)</f>
        <v>2046</v>
      </c>
      <c r="D48" s="508">
        <f>IF(F47+SUM(E$17:E47)=D$10,F47,D$10-SUM(E$17:E47))</f>
        <v>921832.2467016438</v>
      </c>
      <c r="E48" s="509">
        <f t="shared" si="10"/>
        <v>258639.51515151514</v>
      </c>
      <c r="F48" s="510">
        <f t="shared" si="11"/>
        <v>663192.73155012866</v>
      </c>
      <c r="G48" s="511">
        <f t="shared" si="12"/>
        <v>349587.27670219378</v>
      </c>
      <c r="H48" s="477">
        <f t="shared" si="13"/>
        <v>349587.27670219378</v>
      </c>
      <c r="I48" s="500">
        <f t="shared" si="6"/>
        <v>0</v>
      </c>
      <c r="J48" s="500"/>
      <c r="K48" s="512"/>
      <c r="L48" s="504">
        <f t="shared" si="14"/>
        <v>0</v>
      </c>
      <c r="M48" s="512"/>
      <c r="N48" s="504">
        <f t="shared" si="4"/>
        <v>0</v>
      </c>
      <c r="O48" s="504">
        <f t="shared" si="5"/>
        <v>0</v>
      </c>
      <c r="P48" s="278"/>
      <c r="R48" s="243"/>
      <c r="S48" s="243"/>
      <c r="T48" s="243"/>
      <c r="U48" s="243"/>
    </row>
    <row r="49" spans="2:21">
      <c r="B49" s="145" t="str">
        <f t="shared" si="0"/>
        <v/>
      </c>
      <c r="C49" s="495">
        <f>IF(D11="","-",+C48+1)</f>
        <v>2047</v>
      </c>
      <c r="D49" s="508">
        <f>IF(F48+SUM(E$17:E48)=D$10,F48,D$10-SUM(E$17:E48))</f>
        <v>663192.73155012866</v>
      </c>
      <c r="E49" s="509">
        <f t="shared" si="10"/>
        <v>258639.51515151514</v>
      </c>
      <c r="F49" s="510">
        <f t="shared" si="11"/>
        <v>404553.21639861353</v>
      </c>
      <c r="G49" s="511">
        <f t="shared" si="12"/>
        <v>319906.12306191761</v>
      </c>
      <c r="H49" s="477">
        <f t="shared" si="13"/>
        <v>319906.12306191761</v>
      </c>
      <c r="I49" s="500">
        <f t="shared" si="6"/>
        <v>0</v>
      </c>
      <c r="J49" s="500"/>
      <c r="K49" s="512"/>
      <c r="L49" s="504">
        <f t="shared" si="14"/>
        <v>0</v>
      </c>
      <c r="M49" s="512"/>
      <c r="N49" s="504">
        <f t="shared" si="4"/>
        <v>0</v>
      </c>
      <c r="O49" s="504">
        <f t="shared" si="5"/>
        <v>0</v>
      </c>
      <c r="P49" s="278"/>
      <c r="R49" s="243"/>
      <c r="S49" s="243"/>
      <c r="T49" s="243"/>
      <c r="U49" s="243"/>
    </row>
    <row r="50" spans="2:21">
      <c r="B50" s="145" t="str">
        <f t="shared" si="0"/>
        <v/>
      </c>
      <c r="C50" s="495">
        <f>IF(D11="","-",+C49+1)</f>
        <v>2048</v>
      </c>
      <c r="D50" s="508">
        <f>IF(F49+SUM(E$17:E49)=D$10,F49,D$10-SUM(E$17:E49))</f>
        <v>404553.21639861353</v>
      </c>
      <c r="E50" s="509">
        <f t="shared" si="10"/>
        <v>258639.51515151514</v>
      </c>
      <c r="F50" s="510">
        <f t="shared" si="11"/>
        <v>145913.70124709839</v>
      </c>
      <c r="G50" s="511">
        <f t="shared" si="12"/>
        <v>290224.96942164144</v>
      </c>
      <c r="H50" s="477">
        <f t="shared" si="13"/>
        <v>290224.96942164144</v>
      </c>
      <c r="I50" s="500">
        <f t="shared" si="6"/>
        <v>0</v>
      </c>
      <c r="J50" s="500"/>
      <c r="K50" s="512"/>
      <c r="L50" s="504">
        <f t="shared" si="14"/>
        <v>0</v>
      </c>
      <c r="M50" s="512"/>
      <c r="N50" s="504">
        <f t="shared" si="4"/>
        <v>0</v>
      </c>
      <c r="O50" s="504">
        <f t="shared" si="5"/>
        <v>0</v>
      </c>
      <c r="P50" s="278"/>
      <c r="R50" s="243"/>
      <c r="S50" s="243"/>
      <c r="T50" s="243"/>
      <c r="U50" s="243"/>
    </row>
    <row r="51" spans="2:21">
      <c r="B51" s="145" t="str">
        <f t="shared" si="0"/>
        <v/>
      </c>
      <c r="C51" s="495">
        <f>IF(D11="","-",+C50+1)</f>
        <v>2049</v>
      </c>
      <c r="D51" s="508">
        <f>IF(F50+SUM(E$17:E50)=D$10,F50,D$10-SUM(E$17:E50))</f>
        <v>145913.70124709839</v>
      </c>
      <c r="E51" s="509">
        <f t="shared" si="10"/>
        <v>145913.70124709839</v>
      </c>
      <c r="F51" s="510">
        <f t="shared" si="11"/>
        <v>0</v>
      </c>
      <c r="G51" s="511">
        <f t="shared" si="12"/>
        <v>154286.1399720925</v>
      </c>
      <c r="H51" s="477">
        <f t="shared" si="13"/>
        <v>154286.1399720925</v>
      </c>
      <c r="I51" s="500">
        <f t="shared" si="6"/>
        <v>0</v>
      </c>
      <c r="J51" s="500"/>
      <c r="K51" s="512"/>
      <c r="L51" s="504">
        <f t="shared" si="14"/>
        <v>0</v>
      </c>
      <c r="M51" s="512"/>
      <c r="N51" s="504">
        <f t="shared" si="4"/>
        <v>0</v>
      </c>
      <c r="O51" s="504">
        <f t="shared" si="5"/>
        <v>0</v>
      </c>
      <c r="P51" s="278"/>
      <c r="R51" s="243"/>
      <c r="S51" s="243"/>
      <c r="T51" s="243"/>
      <c r="U51" s="243"/>
    </row>
    <row r="52" spans="2:21">
      <c r="B52" s="145" t="str">
        <f t="shared" si="0"/>
        <v/>
      </c>
      <c r="C52" s="495">
        <f>IF(D11="","-",+C51+1)</f>
        <v>2050</v>
      </c>
      <c r="D52" s="508">
        <f>IF(F51+SUM(E$17:E51)=D$10,F51,D$10-SUM(E$17:E51))</f>
        <v>0</v>
      </c>
      <c r="E52" s="509">
        <f t="shared" si="10"/>
        <v>0</v>
      </c>
      <c r="F52" s="510">
        <f t="shared" si="11"/>
        <v>0</v>
      </c>
      <c r="G52" s="511">
        <f t="shared" si="12"/>
        <v>0</v>
      </c>
      <c r="H52" s="477">
        <f t="shared" si="13"/>
        <v>0</v>
      </c>
      <c r="I52" s="500">
        <f t="shared" si="6"/>
        <v>0</v>
      </c>
      <c r="J52" s="500"/>
      <c r="K52" s="512"/>
      <c r="L52" s="504">
        <f t="shared" si="14"/>
        <v>0</v>
      </c>
      <c r="M52" s="512"/>
      <c r="N52" s="504">
        <f t="shared" si="4"/>
        <v>0</v>
      </c>
      <c r="O52" s="504">
        <f t="shared" si="5"/>
        <v>0</v>
      </c>
      <c r="P52" s="278"/>
      <c r="R52" s="243"/>
      <c r="S52" s="243"/>
      <c r="T52" s="243"/>
      <c r="U52" s="243"/>
    </row>
    <row r="53" spans="2:21">
      <c r="B53" s="145" t="str">
        <f t="shared" si="0"/>
        <v/>
      </c>
      <c r="C53" s="495">
        <f>IF(D11="","-",+C52+1)</f>
        <v>2051</v>
      </c>
      <c r="D53" s="508">
        <f>IF(F52+SUM(E$17:E52)=D$10,F52,D$10-SUM(E$17:E52))</f>
        <v>0</v>
      </c>
      <c r="E53" s="509">
        <f t="shared" si="10"/>
        <v>0</v>
      </c>
      <c r="F53" s="510">
        <f t="shared" si="11"/>
        <v>0</v>
      </c>
      <c r="G53" s="511">
        <f t="shared" si="12"/>
        <v>0</v>
      </c>
      <c r="H53" s="477">
        <f t="shared" si="13"/>
        <v>0</v>
      </c>
      <c r="I53" s="500">
        <f t="shared" si="6"/>
        <v>0</v>
      </c>
      <c r="J53" s="500"/>
      <c r="K53" s="512"/>
      <c r="L53" s="504">
        <f t="shared" si="14"/>
        <v>0</v>
      </c>
      <c r="M53" s="512"/>
      <c r="N53" s="504">
        <f t="shared" si="4"/>
        <v>0</v>
      </c>
      <c r="O53" s="504">
        <f t="shared" si="5"/>
        <v>0</v>
      </c>
      <c r="P53" s="278"/>
      <c r="R53" s="243"/>
      <c r="S53" s="243"/>
      <c r="T53" s="243"/>
      <c r="U53" s="243"/>
    </row>
    <row r="54" spans="2:21">
      <c r="B54" s="145" t="str">
        <f t="shared" si="0"/>
        <v/>
      </c>
      <c r="C54" s="495">
        <f>IF(D11="","-",+C53+1)</f>
        <v>2052</v>
      </c>
      <c r="D54" s="508">
        <f>IF(F53+SUM(E$17:E53)=D$10,F53,D$10-SUM(E$17:E53))</f>
        <v>0</v>
      </c>
      <c r="E54" s="509">
        <f t="shared" si="10"/>
        <v>0</v>
      </c>
      <c r="F54" s="510">
        <f t="shared" si="11"/>
        <v>0</v>
      </c>
      <c r="G54" s="511">
        <f t="shared" si="12"/>
        <v>0</v>
      </c>
      <c r="H54" s="477">
        <f t="shared" si="13"/>
        <v>0</v>
      </c>
      <c r="I54" s="500">
        <f t="shared" si="6"/>
        <v>0</v>
      </c>
      <c r="J54" s="500"/>
      <c r="K54" s="512"/>
      <c r="L54" s="504">
        <f t="shared" si="14"/>
        <v>0</v>
      </c>
      <c r="M54" s="512"/>
      <c r="N54" s="504">
        <f t="shared" si="4"/>
        <v>0</v>
      </c>
      <c r="O54" s="504">
        <f t="shared" si="5"/>
        <v>0</v>
      </c>
      <c r="P54" s="278"/>
      <c r="R54" s="243"/>
      <c r="S54" s="243"/>
      <c r="T54" s="243"/>
      <c r="U54" s="243"/>
    </row>
    <row r="55" spans="2:21">
      <c r="B55" s="145" t="str">
        <f t="shared" si="0"/>
        <v/>
      </c>
      <c r="C55" s="495">
        <f>IF(D11="","-",+C54+1)</f>
        <v>2053</v>
      </c>
      <c r="D55" s="508">
        <f>IF(F54+SUM(E$17:E54)=D$10,F54,D$10-SUM(E$17:E54))</f>
        <v>0</v>
      </c>
      <c r="E55" s="509">
        <f t="shared" si="10"/>
        <v>0</v>
      </c>
      <c r="F55" s="510">
        <f t="shared" si="11"/>
        <v>0</v>
      </c>
      <c r="G55" s="511">
        <f t="shared" si="12"/>
        <v>0</v>
      </c>
      <c r="H55" s="477">
        <f t="shared" si="13"/>
        <v>0</v>
      </c>
      <c r="I55" s="500">
        <f t="shared" si="6"/>
        <v>0</v>
      </c>
      <c r="J55" s="500"/>
      <c r="K55" s="512"/>
      <c r="L55" s="504">
        <f t="shared" si="14"/>
        <v>0</v>
      </c>
      <c r="M55" s="512"/>
      <c r="N55" s="504">
        <f t="shared" si="4"/>
        <v>0</v>
      </c>
      <c r="O55" s="504">
        <f t="shared" si="5"/>
        <v>0</v>
      </c>
      <c r="P55" s="278"/>
      <c r="R55" s="243"/>
      <c r="S55" s="243"/>
      <c r="T55" s="243"/>
      <c r="U55" s="243"/>
    </row>
    <row r="56" spans="2:21">
      <c r="B56" s="145" t="str">
        <f t="shared" si="0"/>
        <v/>
      </c>
      <c r="C56" s="495">
        <f>IF(D11="","-",+C55+1)</f>
        <v>2054</v>
      </c>
      <c r="D56" s="508">
        <f>IF(F55+SUM(E$17:E55)=D$10,F55,D$10-SUM(E$17:E55))</f>
        <v>0</v>
      </c>
      <c r="E56" s="509">
        <f t="shared" si="10"/>
        <v>0</v>
      </c>
      <c r="F56" s="510">
        <f t="shared" si="11"/>
        <v>0</v>
      </c>
      <c r="G56" s="511">
        <f t="shared" si="12"/>
        <v>0</v>
      </c>
      <c r="H56" s="477">
        <f t="shared" si="13"/>
        <v>0</v>
      </c>
      <c r="I56" s="500">
        <f t="shared" si="6"/>
        <v>0</v>
      </c>
      <c r="J56" s="500"/>
      <c r="K56" s="512"/>
      <c r="L56" s="504">
        <f t="shared" si="14"/>
        <v>0</v>
      </c>
      <c r="M56" s="512"/>
      <c r="N56" s="504">
        <f t="shared" si="4"/>
        <v>0</v>
      </c>
      <c r="O56" s="504">
        <f t="shared" si="5"/>
        <v>0</v>
      </c>
      <c r="P56" s="278"/>
      <c r="R56" s="243"/>
      <c r="S56" s="243"/>
      <c r="T56" s="243"/>
      <c r="U56" s="243"/>
    </row>
    <row r="57" spans="2:21">
      <c r="B57" s="145" t="str">
        <f t="shared" si="0"/>
        <v/>
      </c>
      <c r="C57" s="495">
        <f>IF(D11="","-",+C56+1)</f>
        <v>2055</v>
      </c>
      <c r="D57" s="508">
        <f>IF(F56+SUM(E$17:E56)=D$10,F56,D$10-SUM(E$17:E56))</f>
        <v>0</v>
      </c>
      <c r="E57" s="509">
        <f t="shared" si="10"/>
        <v>0</v>
      </c>
      <c r="F57" s="510">
        <f t="shared" si="11"/>
        <v>0</v>
      </c>
      <c r="G57" s="511">
        <f t="shared" si="12"/>
        <v>0</v>
      </c>
      <c r="H57" s="477">
        <f t="shared" si="13"/>
        <v>0</v>
      </c>
      <c r="I57" s="500">
        <f t="shared" si="6"/>
        <v>0</v>
      </c>
      <c r="J57" s="500"/>
      <c r="K57" s="512"/>
      <c r="L57" s="504">
        <f t="shared" si="14"/>
        <v>0</v>
      </c>
      <c r="M57" s="512"/>
      <c r="N57" s="504">
        <f t="shared" si="4"/>
        <v>0</v>
      </c>
      <c r="O57" s="504">
        <f t="shared" si="5"/>
        <v>0</v>
      </c>
      <c r="P57" s="278"/>
      <c r="R57" s="243"/>
      <c r="S57" s="243"/>
      <c r="T57" s="243"/>
      <c r="U57" s="243"/>
    </row>
    <row r="58" spans="2:21">
      <c r="B58" s="145" t="str">
        <f t="shared" si="0"/>
        <v/>
      </c>
      <c r="C58" s="495">
        <f>IF(D11="","-",+C57+1)</f>
        <v>2056</v>
      </c>
      <c r="D58" s="508">
        <f>IF(F57+SUM(E$17:E57)=D$10,F57,D$10-SUM(E$17:E57))</f>
        <v>0</v>
      </c>
      <c r="E58" s="509">
        <f t="shared" si="10"/>
        <v>0</v>
      </c>
      <c r="F58" s="510">
        <f t="shared" si="11"/>
        <v>0</v>
      </c>
      <c r="G58" s="511">
        <f t="shared" si="12"/>
        <v>0</v>
      </c>
      <c r="H58" s="477">
        <f t="shared" si="13"/>
        <v>0</v>
      </c>
      <c r="I58" s="500">
        <f t="shared" si="6"/>
        <v>0</v>
      </c>
      <c r="J58" s="500"/>
      <c r="K58" s="512"/>
      <c r="L58" s="504">
        <f t="shared" si="14"/>
        <v>0</v>
      </c>
      <c r="M58" s="512"/>
      <c r="N58" s="504">
        <f t="shared" si="4"/>
        <v>0</v>
      </c>
      <c r="O58" s="504">
        <f t="shared" si="5"/>
        <v>0</v>
      </c>
      <c r="P58" s="278"/>
      <c r="R58" s="243"/>
      <c r="S58" s="243"/>
      <c r="T58" s="243"/>
      <c r="U58" s="243"/>
    </row>
    <row r="59" spans="2:21">
      <c r="B59" s="145" t="str">
        <f t="shared" si="0"/>
        <v/>
      </c>
      <c r="C59" s="495">
        <f>IF(D11="","-",+C58+1)</f>
        <v>2057</v>
      </c>
      <c r="D59" s="508">
        <f>IF(F58+SUM(E$17:E58)=D$10,F58,D$10-SUM(E$17:E58))</f>
        <v>0</v>
      </c>
      <c r="E59" s="509">
        <f t="shared" si="10"/>
        <v>0</v>
      </c>
      <c r="F59" s="510">
        <f t="shared" si="11"/>
        <v>0</v>
      </c>
      <c r="G59" s="511">
        <f t="shared" si="12"/>
        <v>0</v>
      </c>
      <c r="H59" s="477">
        <f t="shared" si="13"/>
        <v>0</v>
      </c>
      <c r="I59" s="500">
        <f t="shared" si="6"/>
        <v>0</v>
      </c>
      <c r="J59" s="500"/>
      <c r="K59" s="512"/>
      <c r="L59" s="504">
        <f t="shared" si="14"/>
        <v>0</v>
      </c>
      <c r="M59" s="512"/>
      <c r="N59" s="504">
        <f t="shared" si="4"/>
        <v>0</v>
      </c>
      <c r="O59" s="504">
        <f t="shared" si="5"/>
        <v>0</v>
      </c>
      <c r="P59" s="278"/>
      <c r="R59" s="243"/>
      <c r="S59" s="243"/>
      <c r="T59" s="243"/>
      <c r="U59" s="243"/>
    </row>
    <row r="60" spans="2:21">
      <c r="B60" s="145" t="str">
        <f t="shared" si="0"/>
        <v/>
      </c>
      <c r="C60" s="495">
        <f>IF(D11="","-",+C59+1)</f>
        <v>2058</v>
      </c>
      <c r="D60" s="508">
        <f>IF(F59+SUM(E$17:E59)=D$10,F59,D$10-SUM(E$17:E59))</f>
        <v>0</v>
      </c>
      <c r="E60" s="509">
        <f t="shared" si="10"/>
        <v>0</v>
      </c>
      <c r="F60" s="510">
        <f t="shared" si="11"/>
        <v>0</v>
      </c>
      <c r="G60" s="511">
        <f t="shared" si="12"/>
        <v>0</v>
      </c>
      <c r="H60" s="477">
        <f t="shared" si="13"/>
        <v>0</v>
      </c>
      <c r="I60" s="500">
        <f t="shared" si="6"/>
        <v>0</v>
      </c>
      <c r="J60" s="500"/>
      <c r="K60" s="512"/>
      <c r="L60" s="504">
        <f t="shared" si="14"/>
        <v>0</v>
      </c>
      <c r="M60" s="512"/>
      <c r="N60" s="504">
        <f t="shared" si="4"/>
        <v>0</v>
      </c>
      <c r="O60" s="504">
        <f t="shared" si="5"/>
        <v>0</v>
      </c>
      <c r="P60" s="278"/>
      <c r="R60" s="243"/>
      <c r="S60" s="243"/>
      <c r="T60" s="243"/>
      <c r="U60" s="243"/>
    </row>
    <row r="61" spans="2:21">
      <c r="B61" s="145" t="str">
        <f>IF(D61=F60,"","IU")</f>
        <v/>
      </c>
      <c r="C61" s="495">
        <f>IF(D11="","-",+C60+1)</f>
        <v>2059</v>
      </c>
      <c r="D61" s="508">
        <f>IF(F60+SUM(E$17:E60)=D$10,F60,D$10-SUM(E$17:E60))</f>
        <v>0</v>
      </c>
      <c r="E61" s="509">
        <f t="shared" si="10"/>
        <v>0</v>
      </c>
      <c r="F61" s="510">
        <f t="shared" si="11"/>
        <v>0</v>
      </c>
      <c r="G61" s="511">
        <f t="shared" si="12"/>
        <v>0</v>
      </c>
      <c r="H61" s="477">
        <f t="shared" si="13"/>
        <v>0</v>
      </c>
      <c r="I61" s="500">
        <f t="shared" si="6"/>
        <v>0</v>
      </c>
      <c r="J61" s="500"/>
      <c r="K61" s="512"/>
      <c r="L61" s="504">
        <f t="shared" si="14"/>
        <v>0</v>
      </c>
      <c r="M61" s="512"/>
      <c r="N61" s="504">
        <f t="shared" si="4"/>
        <v>0</v>
      </c>
      <c r="O61" s="504">
        <f t="shared" si="5"/>
        <v>0</v>
      </c>
      <c r="P61" s="278"/>
      <c r="R61" s="243"/>
      <c r="S61" s="243"/>
      <c r="T61" s="243"/>
      <c r="U61" s="243"/>
    </row>
    <row r="62" spans="2:21">
      <c r="B62" s="145" t="str">
        <f t="shared" si="0"/>
        <v/>
      </c>
      <c r="C62" s="495">
        <f>IF(D11="","-",+C61+1)</f>
        <v>2060</v>
      </c>
      <c r="D62" s="508">
        <f>IF(F61+SUM(E$17:E61)=D$10,F61,D$10-SUM(E$17:E61))</f>
        <v>0</v>
      </c>
      <c r="E62" s="509">
        <f t="shared" si="10"/>
        <v>0</v>
      </c>
      <c r="F62" s="510">
        <f t="shared" si="11"/>
        <v>0</v>
      </c>
      <c r="G62" s="511">
        <f t="shared" si="12"/>
        <v>0</v>
      </c>
      <c r="H62" s="477">
        <f t="shared" si="13"/>
        <v>0</v>
      </c>
      <c r="I62" s="500">
        <f t="shared" si="6"/>
        <v>0</v>
      </c>
      <c r="J62" s="500"/>
      <c r="K62" s="512"/>
      <c r="L62" s="504">
        <f t="shared" si="14"/>
        <v>0</v>
      </c>
      <c r="M62" s="512"/>
      <c r="N62" s="504">
        <f t="shared" si="4"/>
        <v>0</v>
      </c>
      <c r="O62" s="504">
        <f t="shared" si="5"/>
        <v>0</v>
      </c>
      <c r="P62" s="278"/>
      <c r="R62" s="243"/>
      <c r="S62" s="243"/>
      <c r="T62" s="243"/>
      <c r="U62" s="243"/>
    </row>
    <row r="63" spans="2:21">
      <c r="B63" s="145" t="str">
        <f t="shared" si="0"/>
        <v/>
      </c>
      <c r="C63" s="495">
        <f>IF(D11="","-",+C62+1)</f>
        <v>2061</v>
      </c>
      <c r="D63" s="508">
        <f>IF(F62+SUM(E$17:E62)=D$10,F62,D$10-SUM(E$17:E62))</f>
        <v>0</v>
      </c>
      <c r="E63" s="509">
        <f t="shared" si="10"/>
        <v>0</v>
      </c>
      <c r="F63" s="510">
        <f t="shared" si="11"/>
        <v>0</v>
      </c>
      <c r="G63" s="511">
        <f t="shared" si="12"/>
        <v>0</v>
      </c>
      <c r="H63" s="477">
        <f t="shared" si="13"/>
        <v>0</v>
      </c>
      <c r="I63" s="500">
        <f t="shared" si="6"/>
        <v>0</v>
      </c>
      <c r="J63" s="500"/>
      <c r="K63" s="512"/>
      <c r="L63" s="504">
        <f t="shared" si="14"/>
        <v>0</v>
      </c>
      <c r="M63" s="512"/>
      <c r="N63" s="504">
        <f t="shared" si="4"/>
        <v>0</v>
      </c>
      <c r="O63" s="504">
        <f t="shared" si="5"/>
        <v>0</v>
      </c>
      <c r="P63" s="278"/>
      <c r="R63" s="243"/>
      <c r="S63" s="243"/>
      <c r="T63" s="243"/>
      <c r="U63" s="243"/>
    </row>
    <row r="64" spans="2:21">
      <c r="B64" s="145" t="str">
        <f t="shared" si="0"/>
        <v/>
      </c>
      <c r="C64" s="495">
        <f>IF(D11="","-",+C63+1)</f>
        <v>2062</v>
      </c>
      <c r="D64" s="508">
        <f>IF(F63+SUM(E$17:E63)=D$10,F63,D$10-SUM(E$17:E63))</f>
        <v>0</v>
      </c>
      <c r="E64" s="509">
        <f t="shared" si="10"/>
        <v>0</v>
      </c>
      <c r="F64" s="510">
        <f t="shared" si="11"/>
        <v>0</v>
      </c>
      <c r="G64" s="511">
        <f t="shared" si="12"/>
        <v>0</v>
      </c>
      <c r="H64" s="477">
        <f t="shared" si="13"/>
        <v>0</v>
      </c>
      <c r="I64" s="500">
        <f t="shared" si="6"/>
        <v>0</v>
      </c>
      <c r="J64" s="500"/>
      <c r="K64" s="512"/>
      <c r="L64" s="504">
        <f t="shared" si="14"/>
        <v>0</v>
      </c>
      <c r="M64" s="512"/>
      <c r="N64" s="504">
        <f t="shared" si="4"/>
        <v>0</v>
      </c>
      <c r="O64" s="504">
        <f t="shared" si="5"/>
        <v>0</v>
      </c>
      <c r="P64" s="278"/>
      <c r="R64" s="243"/>
      <c r="S64" s="243"/>
      <c r="T64" s="243"/>
      <c r="U64" s="243"/>
    </row>
    <row r="65" spans="2:21">
      <c r="B65" s="145" t="str">
        <f t="shared" si="0"/>
        <v/>
      </c>
      <c r="C65" s="495">
        <f>IF(D11="","-",+C64+1)</f>
        <v>2063</v>
      </c>
      <c r="D65" s="508">
        <f>IF(F64+SUM(E$17:E64)=D$10,F64,D$10-SUM(E$17:E64))</f>
        <v>0</v>
      </c>
      <c r="E65" s="509">
        <f t="shared" si="10"/>
        <v>0</v>
      </c>
      <c r="F65" s="510">
        <f t="shared" si="11"/>
        <v>0</v>
      </c>
      <c r="G65" s="511">
        <f t="shared" si="12"/>
        <v>0</v>
      </c>
      <c r="H65" s="477">
        <f t="shared" si="13"/>
        <v>0</v>
      </c>
      <c r="I65" s="500">
        <f t="shared" si="6"/>
        <v>0</v>
      </c>
      <c r="J65" s="500"/>
      <c r="K65" s="512"/>
      <c r="L65" s="504">
        <f t="shared" si="14"/>
        <v>0</v>
      </c>
      <c r="M65" s="512"/>
      <c r="N65" s="504">
        <f t="shared" si="4"/>
        <v>0</v>
      </c>
      <c r="O65" s="504">
        <f t="shared" si="5"/>
        <v>0</v>
      </c>
      <c r="P65" s="278"/>
      <c r="R65" s="243"/>
      <c r="S65" s="243"/>
      <c r="T65" s="243"/>
      <c r="U65" s="243"/>
    </row>
    <row r="66" spans="2:21">
      <c r="B66" s="145" t="str">
        <f t="shared" si="0"/>
        <v/>
      </c>
      <c r="C66" s="495">
        <f>IF(D11="","-",+C65+1)</f>
        <v>2064</v>
      </c>
      <c r="D66" s="508">
        <f>IF(F65+SUM(E$17:E65)=D$10,F65,D$10-SUM(E$17:E65))</f>
        <v>0</v>
      </c>
      <c r="E66" s="509">
        <f t="shared" si="10"/>
        <v>0</v>
      </c>
      <c r="F66" s="510">
        <f t="shared" si="11"/>
        <v>0</v>
      </c>
      <c r="G66" s="511">
        <f t="shared" si="12"/>
        <v>0</v>
      </c>
      <c r="H66" s="477">
        <f t="shared" si="13"/>
        <v>0</v>
      </c>
      <c r="I66" s="500">
        <f t="shared" si="6"/>
        <v>0</v>
      </c>
      <c r="J66" s="500"/>
      <c r="K66" s="512"/>
      <c r="L66" s="504">
        <f t="shared" si="14"/>
        <v>0</v>
      </c>
      <c r="M66" s="512"/>
      <c r="N66" s="504">
        <f t="shared" si="4"/>
        <v>0</v>
      </c>
      <c r="O66" s="504">
        <f t="shared" si="5"/>
        <v>0</v>
      </c>
      <c r="P66" s="278"/>
      <c r="R66" s="243"/>
      <c r="S66" s="243"/>
      <c r="T66" s="243"/>
      <c r="U66" s="243"/>
    </row>
    <row r="67" spans="2:21">
      <c r="B67" s="145" t="str">
        <f t="shared" si="0"/>
        <v/>
      </c>
      <c r="C67" s="495">
        <f>IF(D11="","-",+C66+1)</f>
        <v>2065</v>
      </c>
      <c r="D67" s="508">
        <f>IF(F66+SUM(E$17:E66)=D$10,F66,D$10-SUM(E$17:E66))</f>
        <v>0</v>
      </c>
      <c r="E67" s="509">
        <f t="shared" si="10"/>
        <v>0</v>
      </c>
      <c r="F67" s="510">
        <f t="shared" si="11"/>
        <v>0</v>
      </c>
      <c r="G67" s="511">
        <f t="shared" si="12"/>
        <v>0</v>
      </c>
      <c r="H67" s="477">
        <f t="shared" si="13"/>
        <v>0</v>
      </c>
      <c r="I67" s="500">
        <f t="shared" si="6"/>
        <v>0</v>
      </c>
      <c r="J67" s="500"/>
      <c r="K67" s="512"/>
      <c r="L67" s="504">
        <f t="shared" si="14"/>
        <v>0</v>
      </c>
      <c r="M67" s="512"/>
      <c r="N67" s="504">
        <f t="shared" si="4"/>
        <v>0</v>
      </c>
      <c r="O67" s="504">
        <f t="shared" si="5"/>
        <v>0</v>
      </c>
      <c r="P67" s="278"/>
      <c r="R67" s="243"/>
      <c r="S67" s="243"/>
      <c r="T67" s="243"/>
      <c r="U67" s="243"/>
    </row>
    <row r="68" spans="2:21">
      <c r="B68" s="145" t="str">
        <f t="shared" si="0"/>
        <v/>
      </c>
      <c r="C68" s="495">
        <f>IF(D11="","-",+C67+1)</f>
        <v>2066</v>
      </c>
      <c r="D68" s="508">
        <f>IF(F67+SUM(E$17:E67)=D$10,F67,D$10-SUM(E$17:E67))</f>
        <v>0</v>
      </c>
      <c r="E68" s="509">
        <f t="shared" si="10"/>
        <v>0</v>
      </c>
      <c r="F68" s="510">
        <f t="shared" si="11"/>
        <v>0</v>
      </c>
      <c r="G68" s="511">
        <f t="shared" si="12"/>
        <v>0</v>
      </c>
      <c r="H68" s="477">
        <f t="shared" si="13"/>
        <v>0</v>
      </c>
      <c r="I68" s="500">
        <f t="shared" si="6"/>
        <v>0</v>
      </c>
      <c r="J68" s="500"/>
      <c r="K68" s="512"/>
      <c r="L68" s="504">
        <f t="shared" si="14"/>
        <v>0</v>
      </c>
      <c r="M68" s="512"/>
      <c r="N68" s="504">
        <f t="shared" si="4"/>
        <v>0</v>
      </c>
      <c r="O68" s="504">
        <f t="shared" si="5"/>
        <v>0</v>
      </c>
      <c r="P68" s="278"/>
      <c r="R68" s="243"/>
      <c r="S68" s="243"/>
      <c r="T68" s="243"/>
      <c r="U68" s="243"/>
    </row>
    <row r="69" spans="2:21">
      <c r="B69" s="145" t="str">
        <f t="shared" si="0"/>
        <v/>
      </c>
      <c r="C69" s="495">
        <f>IF(D11="","-",+C68+1)</f>
        <v>2067</v>
      </c>
      <c r="D69" s="508">
        <f>IF(F68+SUM(E$17:E68)=D$10,F68,D$10-SUM(E$17:E68))</f>
        <v>0</v>
      </c>
      <c r="E69" s="509">
        <f t="shared" si="10"/>
        <v>0</v>
      </c>
      <c r="F69" s="510">
        <f t="shared" si="11"/>
        <v>0</v>
      </c>
      <c r="G69" s="511">
        <f t="shared" si="12"/>
        <v>0</v>
      </c>
      <c r="H69" s="477">
        <f t="shared" si="13"/>
        <v>0</v>
      </c>
      <c r="I69" s="500">
        <f t="shared" si="6"/>
        <v>0</v>
      </c>
      <c r="J69" s="500"/>
      <c r="K69" s="512"/>
      <c r="L69" s="504">
        <f t="shared" si="14"/>
        <v>0</v>
      </c>
      <c r="M69" s="512"/>
      <c r="N69" s="504">
        <f t="shared" si="4"/>
        <v>0</v>
      </c>
      <c r="O69" s="504">
        <f t="shared" si="5"/>
        <v>0</v>
      </c>
      <c r="P69" s="278"/>
      <c r="R69" s="243"/>
      <c r="S69" s="243"/>
      <c r="T69" s="243"/>
      <c r="U69" s="243"/>
    </row>
    <row r="70" spans="2:21">
      <c r="B70" s="145" t="str">
        <f t="shared" si="0"/>
        <v/>
      </c>
      <c r="C70" s="495">
        <f>IF(D11="","-",+C69+1)</f>
        <v>2068</v>
      </c>
      <c r="D70" s="508">
        <f>IF(F69+SUM(E$17:E69)=D$10,F69,D$10-SUM(E$17:E69))</f>
        <v>0</v>
      </c>
      <c r="E70" s="509">
        <f t="shared" si="10"/>
        <v>0</v>
      </c>
      <c r="F70" s="510">
        <f t="shared" si="11"/>
        <v>0</v>
      </c>
      <c r="G70" s="511">
        <f t="shared" si="12"/>
        <v>0</v>
      </c>
      <c r="H70" s="477">
        <f t="shared" si="13"/>
        <v>0</v>
      </c>
      <c r="I70" s="500">
        <f t="shared" si="6"/>
        <v>0</v>
      </c>
      <c r="J70" s="500"/>
      <c r="K70" s="512"/>
      <c r="L70" s="504">
        <f t="shared" si="14"/>
        <v>0</v>
      </c>
      <c r="M70" s="512"/>
      <c r="N70" s="504">
        <f t="shared" si="4"/>
        <v>0</v>
      </c>
      <c r="O70" s="504">
        <f t="shared" si="5"/>
        <v>0</v>
      </c>
      <c r="P70" s="278"/>
      <c r="R70" s="243"/>
      <c r="S70" s="243"/>
      <c r="T70" s="243"/>
      <c r="U70" s="243"/>
    </row>
    <row r="71" spans="2:21">
      <c r="B71" s="145" t="str">
        <f t="shared" si="0"/>
        <v/>
      </c>
      <c r="C71" s="495">
        <f>IF(D11="","-",+C70+1)</f>
        <v>2069</v>
      </c>
      <c r="D71" s="508">
        <f>IF(F70+SUM(E$17:E70)=D$10,F70,D$10-SUM(E$17:E70))</f>
        <v>0</v>
      </c>
      <c r="E71" s="509">
        <f t="shared" si="10"/>
        <v>0</v>
      </c>
      <c r="F71" s="510">
        <f t="shared" si="11"/>
        <v>0</v>
      </c>
      <c r="G71" s="511">
        <f t="shared" si="12"/>
        <v>0</v>
      </c>
      <c r="H71" s="477">
        <f t="shared" si="13"/>
        <v>0</v>
      </c>
      <c r="I71" s="500">
        <f t="shared" si="6"/>
        <v>0</v>
      </c>
      <c r="J71" s="500"/>
      <c r="K71" s="512"/>
      <c r="L71" s="504">
        <f t="shared" si="14"/>
        <v>0</v>
      </c>
      <c r="M71" s="512"/>
      <c r="N71" s="504">
        <f t="shared" si="4"/>
        <v>0</v>
      </c>
      <c r="O71" s="504">
        <f t="shared" si="5"/>
        <v>0</v>
      </c>
      <c r="P71" s="278"/>
      <c r="R71" s="243"/>
      <c r="S71" s="243"/>
      <c r="T71" s="243"/>
      <c r="U71" s="243"/>
    </row>
    <row r="72" spans="2:21">
      <c r="B72" s="145" t="str">
        <f t="shared" si="0"/>
        <v/>
      </c>
      <c r="C72" s="495">
        <f>IF(D11="","-",+C71+1)</f>
        <v>2070</v>
      </c>
      <c r="D72" s="508">
        <f>IF(F71+SUM(E$17:E71)=D$10,F71,D$10-SUM(E$17:E71))</f>
        <v>0</v>
      </c>
      <c r="E72" s="509">
        <f t="shared" si="10"/>
        <v>0</v>
      </c>
      <c r="F72" s="510">
        <f t="shared" si="11"/>
        <v>0</v>
      </c>
      <c r="G72" s="511">
        <f t="shared" si="12"/>
        <v>0</v>
      </c>
      <c r="H72" s="477">
        <f t="shared" si="13"/>
        <v>0</v>
      </c>
      <c r="I72" s="500">
        <f t="shared" si="6"/>
        <v>0</v>
      </c>
      <c r="J72" s="500"/>
      <c r="K72" s="512"/>
      <c r="L72" s="504">
        <f t="shared" si="14"/>
        <v>0</v>
      </c>
      <c r="M72" s="512"/>
      <c r="N72" s="504">
        <f t="shared" si="4"/>
        <v>0</v>
      </c>
      <c r="O72" s="504">
        <f t="shared" si="5"/>
        <v>0</v>
      </c>
      <c r="P72" s="278"/>
      <c r="R72" s="243"/>
      <c r="S72" s="243"/>
      <c r="T72" s="243"/>
      <c r="U72" s="243"/>
    </row>
    <row r="73" spans="2:21" ht="13.5" thickBot="1">
      <c r="B73" s="145" t="str">
        <f t="shared" si="0"/>
        <v/>
      </c>
      <c r="C73" s="524">
        <f>IF(D11="","-",+C72+1)</f>
        <v>2071</v>
      </c>
      <c r="D73" s="508">
        <f>IF(F72+SUM(E$17:E72)=D$10,F72,D$10-SUM(E$17:E72))</f>
        <v>0</v>
      </c>
      <c r="E73" s="509">
        <f t="shared" si="10"/>
        <v>0</v>
      </c>
      <c r="F73" s="510">
        <f t="shared" si="11"/>
        <v>0</v>
      </c>
      <c r="G73" s="511">
        <f t="shared" si="12"/>
        <v>0</v>
      </c>
      <c r="H73" s="477">
        <f t="shared" si="13"/>
        <v>0</v>
      </c>
      <c r="I73" s="500">
        <f t="shared" si="6"/>
        <v>0</v>
      </c>
      <c r="J73" s="500"/>
      <c r="K73" s="530"/>
      <c r="L73" s="531">
        <f t="shared" si="14"/>
        <v>0</v>
      </c>
      <c r="M73" s="530"/>
      <c r="N73" s="531">
        <f t="shared" si="4"/>
        <v>0</v>
      </c>
      <c r="O73" s="531">
        <f t="shared" si="5"/>
        <v>0</v>
      </c>
      <c r="P73" s="278"/>
      <c r="R73" s="243"/>
      <c r="S73" s="243"/>
      <c r="T73" s="243"/>
      <c r="U73" s="243"/>
    </row>
    <row r="74" spans="2:21">
      <c r="C74" s="349" t="s">
        <v>75</v>
      </c>
      <c r="D74" s="294"/>
      <c r="E74" s="294">
        <f>SUM(E17:E73)</f>
        <v>8535104.0000000019</v>
      </c>
      <c r="F74" s="294"/>
      <c r="G74" s="294">
        <f>SUM(G17:G73)</f>
        <v>25308371.765994318</v>
      </c>
      <c r="H74" s="294">
        <f>SUM(H17:H73)</f>
        <v>25308371.765994318</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438" t="str">
        <f ca="1">P1</f>
        <v>OKT Project 9 of 23</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2020</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1044606.9924692181</v>
      </c>
      <c r="N88" s="544">
        <f>IF(J93&lt;D11,0,VLOOKUP(J93,C17:O73,11))</f>
        <v>1044606.9924692181</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1094981.3923049036</v>
      </c>
      <c r="N89" s="548">
        <f>IF(J93&lt;D11,0,VLOOKUP(J93,C100:P155,7))</f>
        <v>1094981.3923049036</v>
      </c>
      <c r="O89" s="549">
        <f>+N89-M89</f>
        <v>0</v>
      </c>
      <c r="P89" s="243"/>
      <c r="Q89" s="243"/>
      <c r="R89" s="243"/>
      <c r="S89" s="243"/>
      <c r="T89" s="243"/>
      <c r="U89" s="243"/>
    </row>
    <row r="90" spans="1:21" ht="13.5" thickBot="1">
      <c r="C90" s="454" t="s">
        <v>82</v>
      </c>
      <c r="D90" s="550" t="str">
        <f>+D7</f>
        <v>Prattville-Bluebell 138 kV</v>
      </c>
      <c r="E90" s="243"/>
      <c r="F90" s="243"/>
      <c r="G90" s="243"/>
      <c r="H90" s="243"/>
      <c r="I90" s="325"/>
      <c r="J90" s="325"/>
      <c r="K90" s="551"/>
      <c r="L90" s="552" t="s">
        <v>135</v>
      </c>
      <c r="M90" s="553">
        <f>+M89-M88</f>
        <v>50374.399835685501</v>
      </c>
      <c r="N90" s="553">
        <f>+N89-N88</f>
        <v>50374.399835685501</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621" t="str">
        <f>+D9</f>
        <v>TP2010094</v>
      </c>
      <c r="E92" s="558"/>
      <c r="F92" s="558"/>
      <c r="G92" s="558"/>
      <c r="H92" s="558"/>
      <c r="I92" s="558"/>
      <c r="J92" s="558"/>
      <c r="K92" s="560"/>
      <c r="P92" s="468"/>
      <c r="Q92" s="243"/>
      <c r="R92" s="243"/>
      <c r="S92" s="243"/>
      <c r="T92" s="243"/>
      <c r="U92" s="243"/>
    </row>
    <row r="93" spans="1:21">
      <c r="C93" s="472" t="s">
        <v>49</v>
      </c>
      <c r="D93" s="622">
        <f>+D10</f>
        <v>8535104</v>
      </c>
      <c r="E93" s="248" t="s">
        <v>84</v>
      </c>
      <c r="H93" s="408"/>
      <c r="I93" s="408"/>
      <c r="J93" s="471">
        <f>+'OKT.WS.G.BPU.ATRR.True-up'!M16</f>
        <v>2020</v>
      </c>
      <c r="K93" s="467"/>
      <c r="L93" s="294" t="s">
        <v>85</v>
      </c>
      <c r="P93" s="278"/>
      <c r="Q93" s="243"/>
      <c r="R93" s="243"/>
      <c r="S93" s="243"/>
      <c r="T93" s="243"/>
      <c r="U93" s="243"/>
    </row>
    <row r="94" spans="1:21">
      <c r="C94" s="472" t="s">
        <v>52</v>
      </c>
      <c r="D94" s="561">
        <f>IF(D11=I10,"",D11)</f>
        <v>2015</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82">
        <f>IF(D11=I10,"",D12)</f>
        <v>6</v>
      </c>
      <c r="E95" s="472" t="s">
        <v>55</v>
      </c>
      <c r="F95" s="408"/>
      <c r="G95" s="408"/>
      <c r="J95" s="476">
        <f>'OKT.WS.G.BPU.ATRR.True-up'!$F$81</f>
        <v>0.11475877389767174</v>
      </c>
      <c r="K95" s="413"/>
      <c r="L95" s="145" t="s">
        <v>86</v>
      </c>
      <c r="P95" s="278"/>
      <c r="Q95" s="243"/>
      <c r="R95" s="243"/>
      <c r="S95" s="243"/>
      <c r="T95" s="243"/>
      <c r="U95" s="243"/>
    </row>
    <row r="96" spans="1:21">
      <c r="C96" s="472" t="s">
        <v>57</v>
      </c>
      <c r="D96" s="474">
        <f>'OKT.WS.G.BPU.ATRR.True-up'!F$93</f>
        <v>21</v>
      </c>
      <c r="E96" s="472" t="s">
        <v>58</v>
      </c>
      <c r="F96" s="408"/>
      <c r="G96" s="408"/>
      <c r="J96" s="476">
        <f>IF(H88="",J95,'OKT.WS.G.BPU.ATRR.True-up'!$F$80)</f>
        <v>0.11475877389767174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406433.52380952379</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B100" s="145" t="str">
        <f t="shared" ref="B100:B155" si="17">IF(D100=F99,"","IU")</f>
        <v>IU</v>
      </c>
      <c r="C100" s="495">
        <f>IF(D94= "","-",D94)</f>
        <v>2015</v>
      </c>
      <c r="D100" s="612">
        <v>0</v>
      </c>
      <c r="E100" s="613">
        <v>102447.91666666666</v>
      </c>
      <c r="F100" s="614">
        <v>8327552.083333333</v>
      </c>
      <c r="G100" s="615">
        <v>4163776.0416666665</v>
      </c>
      <c r="H100" s="615">
        <v>565998.7241739725</v>
      </c>
      <c r="I100" s="615">
        <v>565998.7241739725</v>
      </c>
      <c r="J100" s="504">
        <v>0</v>
      </c>
      <c r="K100" s="504"/>
      <c r="L100" s="506">
        <f t="shared" ref="L100:L105" si="18">H100</f>
        <v>565998.7241739725</v>
      </c>
      <c r="M100" s="504">
        <f t="shared" ref="M100:M105" si="19">IF(L100&lt;&gt;0,+H100-L100,0)</f>
        <v>0</v>
      </c>
      <c r="N100" s="506">
        <f t="shared" ref="N100:N105" si="20">I100</f>
        <v>565998.7241739725</v>
      </c>
      <c r="O100" s="503">
        <f t="shared" ref="O100:O131" si="21">IF(N100&lt;&gt;0,+I100-N100,0)</f>
        <v>0</v>
      </c>
      <c r="P100" s="503">
        <f t="shared" ref="P100:P131" si="22">+O100-M100</f>
        <v>0</v>
      </c>
      <c r="Q100" s="243"/>
      <c r="R100" s="243"/>
      <c r="S100" s="243"/>
      <c r="T100" s="243"/>
      <c r="U100" s="243"/>
    </row>
    <row r="101" spans="1:21">
      <c r="B101" s="145" t="str">
        <f t="shared" si="17"/>
        <v>IU</v>
      </c>
      <c r="C101" s="495">
        <f>IF(D94="","-",+C100+1)</f>
        <v>2016</v>
      </c>
      <c r="D101" s="505">
        <v>8432656.083333334</v>
      </c>
      <c r="E101" s="498">
        <v>167354.98039215687</v>
      </c>
      <c r="F101" s="505">
        <v>8265301.1029411769</v>
      </c>
      <c r="G101" s="498">
        <v>8348978.5931372549</v>
      </c>
      <c r="H101" s="499">
        <v>1072129.2771965233</v>
      </c>
      <c r="I101" s="499">
        <v>1072129.2771965233</v>
      </c>
      <c r="J101" s="504">
        <f t="shared" ref="J101:J131" si="23">+I101-H101</f>
        <v>0</v>
      </c>
      <c r="K101" s="504"/>
      <c r="L101" s="506">
        <f t="shared" si="18"/>
        <v>1072129.2771965233</v>
      </c>
      <c r="M101" s="504">
        <f t="shared" si="19"/>
        <v>0</v>
      </c>
      <c r="N101" s="589">
        <f t="shared" si="20"/>
        <v>1072129.2771965233</v>
      </c>
      <c r="O101" s="589">
        <f>IF(N101&lt;&gt;0,+I101-N101,0)</f>
        <v>0</v>
      </c>
      <c r="P101" s="504">
        <f>+O101-M101</f>
        <v>0</v>
      </c>
      <c r="Q101" s="243"/>
      <c r="R101" s="243"/>
      <c r="S101" s="243"/>
      <c r="T101" s="243"/>
      <c r="U101" s="243"/>
    </row>
    <row r="102" spans="1:21">
      <c r="B102" s="145" t="str">
        <f t="shared" si="17"/>
        <v/>
      </c>
      <c r="C102" s="495">
        <f>IF(D94="","-",+C101+1)</f>
        <v>2017</v>
      </c>
      <c r="D102" s="505">
        <v>8265301.1029411769</v>
      </c>
      <c r="E102" s="498">
        <v>213377.6</v>
      </c>
      <c r="F102" s="505">
        <v>8051923.5029411772</v>
      </c>
      <c r="G102" s="498">
        <v>8158612.302941177</v>
      </c>
      <c r="H102" s="499">
        <v>1170675.4253324734</v>
      </c>
      <c r="I102" s="499">
        <v>1170675.4253324734</v>
      </c>
      <c r="J102" s="504">
        <f t="shared" si="23"/>
        <v>0</v>
      </c>
      <c r="K102" s="504"/>
      <c r="L102" s="506">
        <f t="shared" si="18"/>
        <v>1170675.4253324734</v>
      </c>
      <c r="M102" s="504">
        <f t="shared" si="19"/>
        <v>0</v>
      </c>
      <c r="N102" s="589">
        <f t="shared" si="20"/>
        <v>1170675.4253324734</v>
      </c>
      <c r="O102" s="589">
        <f>IF(N102&lt;&gt;0,+I102-N102,0)</f>
        <v>0</v>
      </c>
      <c r="P102" s="504">
        <f>+O102-M102</f>
        <v>0</v>
      </c>
      <c r="Q102" s="243"/>
      <c r="R102" s="243"/>
      <c r="S102" s="243"/>
      <c r="T102" s="243"/>
      <c r="U102" s="243"/>
    </row>
    <row r="103" spans="1:21">
      <c r="B103" s="145" t="str">
        <f t="shared" si="17"/>
        <v/>
      </c>
      <c r="C103" s="495">
        <f>IF(D94="","-",+C102+1)</f>
        <v>2018</v>
      </c>
      <c r="D103" s="505">
        <v>8051923.5029411772</v>
      </c>
      <c r="E103" s="498">
        <v>237086.22222222222</v>
      </c>
      <c r="F103" s="505">
        <v>7814837.2807189552</v>
      </c>
      <c r="G103" s="498">
        <v>7933380.3918300662</v>
      </c>
      <c r="H103" s="499">
        <v>1074553.2860184449</v>
      </c>
      <c r="I103" s="499">
        <v>1074553.2860184449</v>
      </c>
      <c r="J103" s="504">
        <f t="shared" si="23"/>
        <v>0</v>
      </c>
      <c r="K103" s="504"/>
      <c r="L103" s="506">
        <f t="shared" si="18"/>
        <v>1074553.2860184449</v>
      </c>
      <c r="M103" s="504">
        <f t="shared" si="19"/>
        <v>0</v>
      </c>
      <c r="N103" s="589">
        <f t="shared" si="20"/>
        <v>1074553.2860184449</v>
      </c>
      <c r="O103" s="589">
        <f>IF(N103&lt;&gt;0,+I103-N103,0)</f>
        <v>0</v>
      </c>
      <c r="P103" s="504">
        <f>+O103-M103</f>
        <v>0</v>
      </c>
      <c r="Q103" s="243"/>
      <c r="R103" s="243"/>
      <c r="S103" s="243"/>
      <c r="T103" s="243"/>
      <c r="U103" s="243"/>
    </row>
    <row r="104" spans="1:21">
      <c r="B104" s="145" t="str">
        <f t="shared" si="17"/>
        <v/>
      </c>
      <c r="C104" s="495">
        <f>IF(D94="","-",+C103+1)</f>
        <v>2019</v>
      </c>
      <c r="D104" s="505">
        <v>7814837.2807189552</v>
      </c>
      <c r="E104" s="498">
        <v>237086.22222222222</v>
      </c>
      <c r="F104" s="505">
        <v>7577751.0584967332</v>
      </c>
      <c r="G104" s="498">
        <v>7696294.1696078442</v>
      </c>
      <c r="H104" s="499">
        <v>1049525.8837530178</v>
      </c>
      <c r="I104" s="499">
        <v>1049525.8837530178</v>
      </c>
      <c r="J104" s="504">
        <f t="shared" si="23"/>
        <v>0</v>
      </c>
      <c r="K104" s="504"/>
      <c r="L104" s="506">
        <f t="shared" si="18"/>
        <v>1049525.8837530178</v>
      </c>
      <c r="M104" s="504">
        <f t="shared" si="19"/>
        <v>0</v>
      </c>
      <c r="N104" s="589">
        <f t="shared" si="20"/>
        <v>1049525.8837530178</v>
      </c>
      <c r="O104" s="504">
        <f t="shared" si="21"/>
        <v>0</v>
      </c>
      <c r="P104" s="504">
        <f t="shared" si="22"/>
        <v>0</v>
      </c>
      <c r="Q104" s="243"/>
      <c r="R104" s="243"/>
      <c r="S104" s="243"/>
      <c r="T104" s="243"/>
      <c r="U104" s="243"/>
    </row>
    <row r="105" spans="1:21">
      <c r="B105" s="145" t="str">
        <f t="shared" si="17"/>
        <v/>
      </c>
      <c r="C105" s="495">
        <f>IF(D94="","-",+C104+1)</f>
        <v>2020</v>
      </c>
      <c r="D105" s="505">
        <v>7577751.0584967332</v>
      </c>
      <c r="E105" s="498">
        <v>304825.14285714284</v>
      </c>
      <c r="F105" s="505">
        <v>7272925.9156395905</v>
      </c>
      <c r="G105" s="498">
        <v>7425338.4870681614</v>
      </c>
      <c r="H105" s="499">
        <v>1094981.3923049036</v>
      </c>
      <c r="I105" s="499">
        <v>1094981.3923049036</v>
      </c>
      <c r="J105" s="504">
        <f t="shared" si="23"/>
        <v>0</v>
      </c>
      <c r="K105" s="504"/>
      <c r="L105" s="506">
        <f t="shared" si="18"/>
        <v>1094981.3923049036</v>
      </c>
      <c r="M105" s="504">
        <f t="shared" si="19"/>
        <v>0</v>
      </c>
      <c r="N105" s="589">
        <f t="shared" si="20"/>
        <v>1094981.3923049036</v>
      </c>
      <c r="O105" s="504">
        <f t="shared" si="21"/>
        <v>0</v>
      </c>
      <c r="P105" s="504">
        <f t="shared" si="22"/>
        <v>0</v>
      </c>
      <c r="Q105" s="243"/>
      <c r="R105" s="243"/>
      <c r="S105" s="243"/>
      <c r="T105" s="243"/>
      <c r="U105" s="243"/>
    </row>
    <row r="106" spans="1:21">
      <c r="B106" s="145" t="str">
        <f t="shared" si="17"/>
        <v/>
      </c>
      <c r="C106" s="495">
        <f>IF(D94="","-",+C105+1)</f>
        <v>2021</v>
      </c>
      <c r="D106" s="349">
        <f>IF(F105+SUM(E$100:E105)=D$93,F105,D$93-SUM(E$100:E105))</f>
        <v>7272925.9156395905</v>
      </c>
      <c r="E106" s="509">
        <f>IF(+J97&lt;F105,J97,D106)</f>
        <v>406433.52380952379</v>
      </c>
      <c r="F106" s="510">
        <f t="shared" ref="F106:F155" si="24">+D106-E106</f>
        <v>6866492.3918300662</v>
      </c>
      <c r="G106" s="510">
        <f t="shared" ref="G106:G155" si="25">+(F106+D106)/2</f>
        <v>7069709.1537348283</v>
      </c>
      <c r="H106" s="523">
        <f t="shared" ref="H106:H155" si="26">+J$95*G106+E106</f>
        <v>1217744.6781052791</v>
      </c>
      <c r="I106" s="572">
        <f t="shared" ref="I106:I155" si="27">+J$96*G106+E106</f>
        <v>1217744.6781052791</v>
      </c>
      <c r="J106" s="504">
        <f t="shared" si="23"/>
        <v>0</v>
      </c>
      <c r="K106" s="504"/>
      <c r="L106" s="512"/>
      <c r="M106" s="504">
        <f t="shared" ref="M106:M131" si="28">IF(L106&lt;&gt;0,+H106-L106,0)</f>
        <v>0</v>
      </c>
      <c r="N106" s="512"/>
      <c r="O106" s="504">
        <f t="shared" si="21"/>
        <v>0</v>
      </c>
      <c r="P106" s="504">
        <f t="shared" si="22"/>
        <v>0</v>
      </c>
      <c r="Q106" s="243"/>
      <c r="R106" s="243"/>
      <c r="S106" s="243"/>
      <c r="T106" s="243"/>
      <c r="U106" s="243"/>
    </row>
    <row r="107" spans="1:21">
      <c r="B107" s="145" t="str">
        <f t="shared" si="17"/>
        <v/>
      </c>
      <c r="C107" s="495">
        <f>IF(D94="","-",+C106+1)</f>
        <v>2022</v>
      </c>
      <c r="D107" s="349">
        <f>IF(F106+SUM(E$100:E106)=D$93,F106,D$93-SUM(E$100:E106))</f>
        <v>6866492.3918300662</v>
      </c>
      <c r="E107" s="509">
        <f>IF(+J97&lt;F106,J97,D107)</f>
        <v>406433.52380952379</v>
      </c>
      <c r="F107" s="510">
        <f t="shared" si="24"/>
        <v>6460058.868020542</v>
      </c>
      <c r="G107" s="510">
        <f t="shared" si="25"/>
        <v>6663275.6299253041</v>
      </c>
      <c r="H107" s="523">
        <f t="shared" si="26"/>
        <v>1171102.8652419881</v>
      </c>
      <c r="I107" s="572">
        <f t="shared" si="27"/>
        <v>1171102.8652419881</v>
      </c>
      <c r="J107" s="504">
        <f t="shared" si="23"/>
        <v>0</v>
      </c>
      <c r="K107" s="504"/>
      <c r="L107" s="512"/>
      <c r="M107" s="504">
        <f t="shared" si="28"/>
        <v>0</v>
      </c>
      <c r="N107" s="512"/>
      <c r="O107" s="504">
        <f t="shared" si="21"/>
        <v>0</v>
      </c>
      <c r="P107" s="504">
        <f t="shared" si="22"/>
        <v>0</v>
      </c>
      <c r="Q107" s="243"/>
      <c r="R107" s="243"/>
      <c r="S107" s="243"/>
      <c r="T107" s="243"/>
      <c r="U107" s="243"/>
    </row>
    <row r="108" spans="1:21">
      <c r="B108" s="145" t="str">
        <f t="shared" si="17"/>
        <v/>
      </c>
      <c r="C108" s="495">
        <f>IF(D94="","-",+C107+1)</f>
        <v>2023</v>
      </c>
      <c r="D108" s="349">
        <f>IF(F107+SUM(E$100:E107)=D$93,F107,D$93-SUM(E$100:E107))</f>
        <v>6460058.868020542</v>
      </c>
      <c r="E108" s="509">
        <f>IF(+J97&lt;F107,J97,D108)</f>
        <v>406433.52380952379</v>
      </c>
      <c r="F108" s="510">
        <f t="shared" si="24"/>
        <v>6053625.3442110177</v>
      </c>
      <c r="G108" s="510">
        <f t="shared" si="25"/>
        <v>6256842.1061157798</v>
      </c>
      <c r="H108" s="523">
        <f t="shared" si="26"/>
        <v>1124461.0523786969</v>
      </c>
      <c r="I108" s="572">
        <f t="shared" si="27"/>
        <v>1124461.0523786969</v>
      </c>
      <c r="J108" s="504">
        <f t="shared" si="23"/>
        <v>0</v>
      </c>
      <c r="K108" s="504"/>
      <c r="L108" s="512"/>
      <c r="M108" s="504">
        <f t="shared" si="28"/>
        <v>0</v>
      </c>
      <c r="N108" s="512"/>
      <c r="O108" s="504">
        <f t="shared" si="21"/>
        <v>0</v>
      </c>
      <c r="P108" s="504">
        <f t="shared" si="22"/>
        <v>0</v>
      </c>
      <c r="Q108" s="243"/>
      <c r="R108" s="243"/>
      <c r="S108" s="243"/>
      <c r="T108" s="243"/>
      <c r="U108" s="243"/>
    </row>
    <row r="109" spans="1:21">
      <c r="B109" s="145" t="str">
        <f t="shared" si="17"/>
        <v/>
      </c>
      <c r="C109" s="495">
        <f>IF(D94="","-",+C108+1)</f>
        <v>2024</v>
      </c>
      <c r="D109" s="349">
        <f>IF(F108+SUM(E$100:E108)=D$93,F108,D$93-SUM(E$100:E108))</f>
        <v>6053625.3442110177</v>
      </c>
      <c r="E109" s="509">
        <f>IF(+J97&lt;F108,J97,D109)</f>
        <v>406433.52380952379</v>
      </c>
      <c r="F109" s="510">
        <f t="shared" si="24"/>
        <v>5647191.8204014935</v>
      </c>
      <c r="G109" s="510">
        <f t="shared" si="25"/>
        <v>5850408.5823062556</v>
      </c>
      <c r="H109" s="523">
        <f t="shared" si="26"/>
        <v>1077819.2395154056</v>
      </c>
      <c r="I109" s="572">
        <f t="shared" si="27"/>
        <v>1077819.2395154056</v>
      </c>
      <c r="J109" s="504">
        <f t="shared" si="23"/>
        <v>0</v>
      </c>
      <c r="K109" s="504"/>
      <c r="L109" s="512"/>
      <c r="M109" s="504">
        <f t="shared" si="28"/>
        <v>0</v>
      </c>
      <c r="N109" s="512"/>
      <c r="O109" s="504">
        <f t="shared" si="21"/>
        <v>0</v>
      </c>
      <c r="P109" s="504">
        <f t="shared" si="22"/>
        <v>0</v>
      </c>
      <c r="Q109" s="243"/>
      <c r="R109" s="243"/>
      <c r="S109" s="243"/>
      <c r="T109" s="243"/>
      <c r="U109" s="243"/>
    </row>
    <row r="110" spans="1:21">
      <c r="B110" s="145" t="str">
        <f t="shared" si="17"/>
        <v/>
      </c>
      <c r="C110" s="495">
        <f>IF(D94="","-",+C109+1)</f>
        <v>2025</v>
      </c>
      <c r="D110" s="349">
        <f>IF(F109+SUM(E$100:E109)=D$93,F109,D$93-SUM(E$100:E109))</f>
        <v>5647191.8204014935</v>
      </c>
      <c r="E110" s="509">
        <f>IF(+J97&lt;F109,J97,D110)</f>
        <v>406433.52380952379</v>
      </c>
      <c r="F110" s="510">
        <f t="shared" si="24"/>
        <v>5240758.2965919692</v>
      </c>
      <c r="G110" s="510">
        <f t="shared" si="25"/>
        <v>5443975.0584967313</v>
      </c>
      <c r="H110" s="523">
        <f t="shared" si="26"/>
        <v>1031177.4266521145</v>
      </c>
      <c r="I110" s="572">
        <f t="shared" si="27"/>
        <v>1031177.4266521145</v>
      </c>
      <c r="J110" s="504">
        <f t="shared" si="23"/>
        <v>0</v>
      </c>
      <c r="K110" s="504"/>
      <c r="L110" s="512"/>
      <c r="M110" s="504">
        <f t="shared" si="28"/>
        <v>0</v>
      </c>
      <c r="N110" s="512"/>
      <c r="O110" s="504">
        <f t="shared" si="21"/>
        <v>0</v>
      </c>
      <c r="P110" s="504">
        <f t="shared" si="22"/>
        <v>0</v>
      </c>
      <c r="Q110" s="243"/>
      <c r="R110" s="243"/>
      <c r="S110" s="243"/>
      <c r="T110" s="243"/>
      <c r="U110" s="243"/>
    </row>
    <row r="111" spans="1:21">
      <c r="B111" s="145" t="str">
        <f t="shared" si="17"/>
        <v/>
      </c>
      <c r="C111" s="495">
        <f>IF(D94="","-",+C110+1)</f>
        <v>2026</v>
      </c>
      <c r="D111" s="349">
        <f>IF(F110+SUM(E$100:E110)=D$93,F110,D$93-SUM(E$100:E110))</f>
        <v>5240758.2965919692</v>
      </c>
      <c r="E111" s="509">
        <f>IF(+J97&lt;F110,J97,D111)</f>
        <v>406433.52380952379</v>
      </c>
      <c r="F111" s="510">
        <f t="shared" si="24"/>
        <v>4834324.772782445</v>
      </c>
      <c r="G111" s="510">
        <f t="shared" si="25"/>
        <v>5037541.5346872071</v>
      </c>
      <c r="H111" s="523">
        <f t="shared" si="26"/>
        <v>984535.61378882325</v>
      </c>
      <c r="I111" s="572">
        <f t="shared" si="27"/>
        <v>984535.61378882325</v>
      </c>
      <c r="J111" s="504">
        <f t="shared" si="23"/>
        <v>0</v>
      </c>
      <c r="K111" s="504"/>
      <c r="L111" s="512"/>
      <c r="M111" s="504">
        <f t="shared" si="28"/>
        <v>0</v>
      </c>
      <c r="N111" s="512"/>
      <c r="O111" s="504">
        <f t="shared" si="21"/>
        <v>0</v>
      </c>
      <c r="P111" s="504">
        <f t="shared" si="22"/>
        <v>0</v>
      </c>
      <c r="Q111" s="243"/>
      <c r="R111" s="243"/>
      <c r="S111" s="243"/>
      <c r="T111" s="243"/>
      <c r="U111" s="243"/>
    </row>
    <row r="112" spans="1:21">
      <c r="B112" s="145" t="str">
        <f t="shared" si="17"/>
        <v/>
      </c>
      <c r="C112" s="495">
        <f>IF(D94="","-",+C111+1)</f>
        <v>2027</v>
      </c>
      <c r="D112" s="349">
        <f>IF(F111+SUM(E$100:E111)=D$93,F111,D$93-SUM(E$100:E111))</f>
        <v>4834324.772782445</v>
      </c>
      <c r="E112" s="509">
        <f>IF(+J97&lt;F111,J97,D112)</f>
        <v>406433.52380952379</v>
      </c>
      <c r="F112" s="510">
        <f t="shared" si="24"/>
        <v>4427891.2489729207</v>
      </c>
      <c r="G112" s="510">
        <f t="shared" si="25"/>
        <v>4631108.0108776828</v>
      </c>
      <c r="H112" s="523">
        <f t="shared" si="26"/>
        <v>937893.80092553212</v>
      </c>
      <c r="I112" s="572">
        <f t="shared" si="27"/>
        <v>937893.80092553212</v>
      </c>
      <c r="J112" s="504">
        <f t="shared" si="23"/>
        <v>0</v>
      </c>
      <c r="K112" s="504"/>
      <c r="L112" s="512"/>
      <c r="M112" s="504">
        <f t="shared" si="28"/>
        <v>0</v>
      </c>
      <c r="N112" s="512"/>
      <c r="O112" s="504">
        <f t="shared" si="21"/>
        <v>0</v>
      </c>
      <c r="P112" s="504">
        <f t="shared" si="22"/>
        <v>0</v>
      </c>
      <c r="Q112" s="243"/>
      <c r="R112" s="243"/>
      <c r="S112" s="243"/>
      <c r="T112" s="243"/>
      <c r="U112" s="243"/>
    </row>
    <row r="113" spans="2:21">
      <c r="B113" s="145" t="str">
        <f t="shared" si="17"/>
        <v/>
      </c>
      <c r="C113" s="495">
        <f>IF(D94="","-",+C112+1)</f>
        <v>2028</v>
      </c>
      <c r="D113" s="349">
        <f>IF(F112+SUM(E$100:E112)=D$93,F112,D$93-SUM(E$100:E112))</f>
        <v>4427891.2489729207</v>
      </c>
      <c r="E113" s="509">
        <f>IF(+J97&lt;F112,J97,D113)</f>
        <v>406433.52380952379</v>
      </c>
      <c r="F113" s="510">
        <f t="shared" si="24"/>
        <v>4021457.7251633969</v>
      </c>
      <c r="G113" s="510">
        <f t="shared" si="25"/>
        <v>4224674.4870681586</v>
      </c>
      <c r="H113" s="523">
        <f t="shared" si="26"/>
        <v>891251.98806224088</v>
      </c>
      <c r="I113" s="572">
        <f t="shared" si="27"/>
        <v>891251.98806224088</v>
      </c>
      <c r="J113" s="504">
        <f t="shared" si="23"/>
        <v>0</v>
      </c>
      <c r="K113" s="504"/>
      <c r="L113" s="512"/>
      <c r="M113" s="504">
        <f t="shared" si="28"/>
        <v>0</v>
      </c>
      <c r="N113" s="512"/>
      <c r="O113" s="504">
        <f t="shared" si="21"/>
        <v>0</v>
      </c>
      <c r="P113" s="504">
        <f t="shared" si="22"/>
        <v>0</v>
      </c>
      <c r="Q113" s="243"/>
      <c r="R113" s="243"/>
      <c r="S113" s="243"/>
      <c r="T113" s="243"/>
      <c r="U113" s="243"/>
    </row>
    <row r="114" spans="2:21">
      <c r="B114" s="145" t="str">
        <f t="shared" si="17"/>
        <v/>
      </c>
      <c r="C114" s="495">
        <f>IF(D94="","-",+C113+1)</f>
        <v>2029</v>
      </c>
      <c r="D114" s="349">
        <f>IF(F113+SUM(E$100:E113)=D$93,F113,D$93-SUM(E$100:E113))</f>
        <v>4021457.7251633969</v>
      </c>
      <c r="E114" s="509">
        <f>IF(+J97&lt;F113,J97,D114)</f>
        <v>406433.52380952379</v>
      </c>
      <c r="F114" s="510">
        <f t="shared" si="24"/>
        <v>3615024.2013538731</v>
      </c>
      <c r="G114" s="510">
        <f t="shared" si="25"/>
        <v>3818240.9632586353</v>
      </c>
      <c r="H114" s="523">
        <f t="shared" si="26"/>
        <v>844610.17519894987</v>
      </c>
      <c r="I114" s="572">
        <f t="shared" si="27"/>
        <v>844610.17519894987</v>
      </c>
      <c r="J114" s="504">
        <f t="shared" si="23"/>
        <v>0</v>
      </c>
      <c r="K114" s="504"/>
      <c r="L114" s="512"/>
      <c r="M114" s="504">
        <f t="shared" si="28"/>
        <v>0</v>
      </c>
      <c r="N114" s="512"/>
      <c r="O114" s="504">
        <f t="shared" si="21"/>
        <v>0</v>
      </c>
      <c r="P114" s="504">
        <f t="shared" si="22"/>
        <v>0</v>
      </c>
      <c r="Q114" s="243"/>
      <c r="R114" s="243"/>
      <c r="S114" s="243"/>
      <c r="T114" s="243"/>
      <c r="U114" s="243"/>
    </row>
    <row r="115" spans="2:21">
      <c r="B115" s="145" t="str">
        <f t="shared" si="17"/>
        <v/>
      </c>
      <c r="C115" s="495">
        <f>IF(D94="","-",+C114+1)</f>
        <v>2030</v>
      </c>
      <c r="D115" s="349">
        <f>IF(F114+SUM(E$100:E114)=D$93,F114,D$93-SUM(E$100:E114))</f>
        <v>3615024.2013538731</v>
      </c>
      <c r="E115" s="509">
        <f>IF(+J97&lt;F114,J97,D115)</f>
        <v>406433.52380952379</v>
      </c>
      <c r="F115" s="510">
        <f t="shared" si="24"/>
        <v>3208590.6775443493</v>
      </c>
      <c r="G115" s="510">
        <f t="shared" si="25"/>
        <v>3411807.439449111</v>
      </c>
      <c r="H115" s="523">
        <f t="shared" si="26"/>
        <v>797968.36233565863</v>
      </c>
      <c r="I115" s="572">
        <f t="shared" si="27"/>
        <v>797968.36233565863</v>
      </c>
      <c r="J115" s="504">
        <f t="shared" si="23"/>
        <v>0</v>
      </c>
      <c r="K115" s="504"/>
      <c r="L115" s="512"/>
      <c r="M115" s="504">
        <f t="shared" si="28"/>
        <v>0</v>
      </c>
      <c r="N115" s="512"/>
      <c r="O115" s="504">
        <f t="shared" si="21"/>
        <v>0</v>
      </c>
      <c r="P115" s="504">
        <f t="shared" si="22"/>
        <v>0</v>
      </c>
      <c r="Q115" s="243"/>
      <c r="R115" s="243"/>
      <c r="S115" s="243"/>
      <c r="T115" s="243"/>
      <c r="U115" s="243"/>
    </row>
    <row r="116" spans="2:21">
      <c r="B116" s="145" t="str">
        <f t="shared" si="17"/>
        <v/>
      </c>
      <c r="C116" s="495">
        <f>IF(D94="","-",+C115+1)</f>
        <v>2031</v>
      </c>
      <c r="D116" s="349">
        <f>IF(F115+SUM(E$100:E115)=D$93,F115,D$93-SUM(E$100:E115))</f>
        <v>3208590.6775443493</v>
      </c>
      <c r="E116" s="509">
        <f>IF(+J97&lt;F115,J97,D116)</f>
        <v>406433.52380952379</v>
      </c>
      <c r="F116" s="510">
        <f t="shared" si="24"/>
        <v>2802157.1537348256</v>
      </c>
      <c r="G116" s="510">
        <f t="shared" si="25"/>
        <v>3005373.9156395877</v>
      </c>
      <c r="H116" s="523">
        <f t="shared" si="26"/>
        <v>751326.54947236762</v>
      </c>
      <c r="I116" s="572">
        <f t="shared" si="27"/>
        <v>751326.54947236762</v>
      </c>
      <c r="J116" s="504">
        <f t="shared" si="23"/>
        <v>0</v>
      </c>
      <c r="K116" s="504"/>
      <c r="L116" s="512"/>
      <c r="M116" s="504">
        <f t="shared" si="28"/>
        <v>0</v>
      </c>
      <c r="N116" s="512"/>
      <c r="O116" s="504">
        <f t="shared" si="21"/>
        <v>0</v>
      </c>
      <c r="P116" s="504">
        <f t="shared" si="22"/>
        <v>0</v>
      </c>
      <c r="Q116" s="243"/>
      <c r="R116" s="243"/>
      <c r="S116" s="243"/>
      <c r="T116" s="243"/>
      <c r="U116" s="243"/>
    </row>
    <row r="117" spans="2:21">
      <c r="B117" s="145" t="str">
        <f t="shared" si="17"/>
        <v/>
      </c>
      <c r="C117" s="495">
        <f>IF(D94="","-",+C116+1)</f>
        <v>2032</v>
      </c>
      <c r="D117" s="349">
        <f>IF(F116+SUM(E$100:E116)=D$93,F116,D$93-SUM(E$100:E116))</f>
        <v>2802157.1537348256</v>
      </c>
      <c r="E117" s="509">
        <f>IF(+J97&lt;F116,J97,D117)</f>
        <v>406433.52380952379</v>
      </c>
      <c r="F117" s="510">
        <f t="shared" si="24"/>
        <v>2395723.6299253018</v>
      </c>
      <c r="G117" s="510">
        <f t="shared" si="25"/>
        <v>2598940.3918300634</v>
      </c>
      <c r="H117" s="523">
        <f t="shared" si="26"/>
        <v>704684.73660907638</v>
      </c>
      <c r="I117" s="572">
        <f t="shared" si="27"/>
        <v>704684.73660907638</v>
      </c>
      <c r="J117" s="504">
        <f t="shared" si="23"/>
        <v>0</v>
      </c>
      <c r="K117" s="504"/>
      <c r="L117" s="512"/>
      <c r="M117" s="504">
        <f t="shared" si="28"/>
        <v>0</v>
      </c>
      <c r="N117" s="512"/>
      <c r="O117" s="504">
        <f t="shared" si="21"/>
        <v>0</v>
      </c>
      <c r="P117" s="504">
        <f t="shared" si="22"/>
        <v>0</v>
      </c>
      <c r="Q117" s="243"/>
      <c r="R117" s="243"/>
      <c r="S117" s="243"/>
      <c r="T117" s="243"/>
      <c r="U117" s="243"/>
    </row>
    <row r="118" spans="2:21">
      <c r="B118" s="145" t="str">
        <f t="shared" si="17"/>
        <v/>
      </c>
      <c r="C118" s="495">
        <f>IF(D94="","-",+C117+1)</f>
        <v>2033</v>
      </c>
      <c r="D118" s="349">
        <f>IF(F117+SUM(E$100:E117)=D$93,F117,D$93-SUM(E$100:E117))</f>
        <v>2395723.6299253018</v>
      </c>
      <c r="E118" s="509">
        <f>IF(+J97&lt;F117,J97,D118)</f>
        <v>406433.52380952379</v>
      </c>
      <c r="F118" s="510">
        <f t="shared" si="24"/>
        <v>1989290.106115778</v>
      </c>
      <c r="G118" s="510">
        <f t="shared" si="25"/>
        <v>2192506.8680205401</v>
      </c>
      <c r="H118" s="523">
        <f t="shared" si="26"/>
        <v>658042.92374578537</v>
      </c>
      <c r="I118" s="572">
        <f t="shared" si="27"/>
        <v>658042.92374578537</v>
      </c>
      <c r="J118" s="504">
        <f t="shared" si="23"/>
        <v>0</v>
      </c>
      <c r="K118" s="504"/>
      <c r="L118" s="512"/>
      <c r="M118" s="504">
        <f t="shared" si="28"/>
        <v>0</v>
      </c>
      <c r="N118" s="512"/>
      <c r="O118" s="504">
        <f t="shared" si="21"/>
        <v>0</v>
      </c>
      <c r="P118" s="504">
        <f t="shared" si="22"/>
        <v>0</v>
      </c>
      <c r="Q118" s="243"/>
      <c r="R118" s="243"/>
      <c r="S118" s="243"/>
      <c r="T118" s="243"/>
      <c r="U118" s="243"/>
    </row>
    <row r="119" spans="2:21">
      <c r="B119" s="145" t="str">
        <f t="shared" si="17"/>
        <v/>
      </c>
      <c r="C119" s="495">
        <f>IF(D94="","-",+C118+1)</f>
        <v>2034</v>
      </c>
      <c r="D119" s="349">
        <f>IF(F118+SUM(E$100:E118)=D$93,F118,D$93-SUM(E$100:E118))</f>
        <v>1989290.106115778</v>
      </c>
      <c r="E119" s="509">
        <f>IF(+J97&lt;F118,J97,D119)</f>
        <v>406433.52380952379</v>
      </c>
      <c r="F119" s="510">
        <f t="shared" si="24"/>
        <v>1582856.5823062542</v>
      </c>
      <c r="G119" s="510">
        <f t="shared" si="25"/>
        <v>1786073.3442110161</v>
      </c>
      <c r="H119" s="523">
        <f t="shared" si="26"/>
        <v>611401.11088249425</v>
      </c>
      <c r="I119" s="572">
        <f t="shared" si="27"/>
        <v>611401.11088249425</v>
      </c>
      <c r="J119" s="504">
        <f t="shared" si="23"/>
        <v>0</v>
      </c>
      <c r="K119" s="504"/>
      <c r="L119" s="512"/>
      <c r="M119" s="504">
        <f t="shared" si="28"/>
        <v>0</v>
      </c>
      <c r="N119" s="512"/>
      <c r="O119" s="504">
        <f t="shared" si="21"/>
        <v>0</v>
      </c>
      <c r="P119" s="504">
        <f t="shared" si="22"/>
        <v>0</v>
      </c>
      <c r="Q119" s="243"/>
      <c r="R119" s="243"/>
      <c r="S119" s="243"/>
      <c r="T119" s="243"/>
      <c r="U119" s="243"/>
    </row>
    <row r="120" spans="2:21">
      <c r="B120" s="145" t="str">
        <f t="shared" si="17"/>
        <v/>
      </c>
      <c r="C120" s="495">
        <f>IF(D94="","-",+C119+1)</f>
        <v>2035</v>
      </c>
      <c r="D120" s="349">
        <f>IF(F119+SUM(E$100:E119)=D$93,F119,D$93-SUM(E$100:E119))</f>
        <v>1582856.5823062542</v>
      </c>
      <c r="E120" s="509">
        <f>IF(+J97&lt;F119,J97,D120)</f>
        <v>406433.52380952379</v>
      </c>
      <c r="F120" s="510">
        <f t="shared" si="24"/>
        <v>1176423.0584967304</v>
      </c>
      <c r="G120" s="510">
        <f t="shared" si="25"/>
        <v>1379639.8204014923</v>
      </c>
      <c r="H120" s="523">
        <f t="shared" si="26"/>
        <v>564759.29801920312</v>
      </c>
      <c r="I120" s="572">
        <f t="shared" si="27"/>
        <v>564759.29801920312</v>
      </c>
      <c r="J120" s="504">
        <f t="shared" si="23"/>
        <v>0</v>
      </c>
      <c r="K120" s="504"/>
      <c r="L120" s="512"/>
      <c r="M120" s="504">
        <f t="shared" si="28"/>
        <v>0</v>
      </c>
      <c r="N120" s="512"/>
      <c r="O120" s="504">
        <f t="shared" si="21"/>
        <v>0</v>
      </c>
      <c r="P120" s="504">
        <f t="shared" si="22"/>
        <v>0</v>
      </c>
      <c r="Q120" s="243"/>
      <c r="R120" s="243"/>
      <c r="S120" s="243"/>
      <c r="T120" s="243"/>
      <c r="U120" s="243"/>
    </row>
    <row r="121" spans="2:21">
      <c r="B121" s="145" t="str">
        <f t="shared" si="17"/>
        <v/>
      </c>
      <c r="C121" s="495">
        <f>IF(D94="","-",+C120+1)</f>
        <v>2036</v>
      </c>
      <c r="D121" s="349">
        <f>IF(F120+SUM(E$100:E120)=D$93,F120,D$93-SUM(E$100:E120))</f>
        <v>1176423.0584967304</v>
      </c>
      <c r="E121" s="509">
        <f>IF(+J97&lt;F120,J97,D121)</f>
        <v>406433.52380952379</v>
      </c>
      <c r="F121" s="510">
        <f t="shared" si="24"/>
        <v>769989.53468720661</v>
      </c>
      <c r="G121" s="510">
        <f t="shared" si="25"/>
        <v>973206.29659196851</v>
      </c>
      <c r="H121" s="523">
        <f t="shared" si="26"/>
        <v>518117.48515591194</v>
      </c>
      <c r="I121" s="572">
        <f t="shared" si="27"/>
        <v>518117.48515591194</v>
      </c>
      <c r="J121" s="504">
        <f t="shared" si="23"/>
        <v>0</v>
      </c>
      <c r="K121" s="504"/>
      <c r="L121" s="512"/>
      <c r="M121" s="504">
        <f t="shared" si="28"/>
        <v>0</v>
      </c>
      <c r="N121" s="512"/>
      <c r="O121" s="504">
        <f t="shared" si="21"/>
        <v>0</v>
      </c>
      <c r="P121" s="504">
        <f t="shared" si="22"/>
        <v>0</v>
      </c>
      <c r="Q121" s="243"/>
      <c r="R121" s="243"/>
      <c r="S121" s="243"/>
      <c r="T121" s="243"/>
      <c r="U121" s="243"/>
    </row>
    <row r="122" spans="2:21">
      <c r="B122" s="145" t="str">
        <f t="shared" si="17"/>
        <v/>
      </c>
      <c r="C122" s="495">
        <f>IF(D94="","-",+C121+1)</f>
        <v>2037</v>
      </c>
      <c r="D122" s="349">
        <f>IF(F121+SUM(E$100:E121)=D$93,F121,D$93-SUM(E$100:E121))</f>
        <v>769989.53468720661</v>
      </c>
      <c r="E122" s="509">
        <f>IF(+J97&lt;F121,J97,D122)</f>
        <v>406433.52380952379</v>
      </c>
      <c r="F122" s="510">
        <f t="shared" si="24"/>
        <v>363556.01087768283</v>
      </c>
      <c r="G122" s="510">
        <f t="shared" si="25"/>
        <v>566772.77278244472</v>
      </c>
      <c r="H122" s="523">
        <f t="shared" si="26"/>
        <v>471475.67229262082</v>
      </c>
      <c r="I122" s="572">
        <f t="shared" si="27"/>
        <v>471475.67229262082</v>
      </c>
      <c r="J122" s="504">
        <f t="shared" si="23"/>
        <v>0</v>
      </c>
      <c r="K122" s="504"/>
      <c r="L122" s="512"/>
      <c r="M122" s="504">
        <f t="shared" si="28"/>
        <v>0</v>
      </c>
      <c r="N122" s="512"/>
      <c r="O122" s="504">
        <f t="shared" si="21"/>
        <v>0</v>
      </c>
      <c r="P122" s="504">
        <f t="shared" si="22"/>
        <v>0</v>
      </c>
      <c r="Q122" s="243"/>
      <c r="R122" s="243"/>
      <c r="S122" s="243"/>
      <c r="T122" s="243"/>
      <c r="U122" s="243"/>
    </row>
    <row r="123" spans="2:21">
      <c r="B123" s="145" t="str">
        <f t="shared" si="17"/>
        <v/>
      </c>
      <c r="C123" s="495">
        <f>IF(D94="","-",+C122+1)</f>
        <v>2038</v>
      </c>
      <c r="D123" s="349">
        <f>IF(F122+SUM(E$100:E122)=D$93,F122,D$93-SUM(E$100:E122))</f>
        <v>363556.01087768283</v>
      </c>
      <c r="E123" s="509">
        <f>IF(+J97&lt;F122,J97,D123)</f>
        <v>363556.01087768283</v>
      </c>
      <c r="F123" s="510">
        <f t="shared" si="24"/>
        <v>0</v>
      </c>
      <c r="G123" s="510">
        <f t="shared" si="25"/>
        <v>181778.00543884141</v>
      </c>
      <c r="H123" s="523">
        <f t="shared" si="26"/>
        <v>384416.63190340856</v>
      </c>
      <c r="I123" s="572">
        <f t="shared" si="27"/>
        <v>384416.63190340856</v>
      </c>
      <c r="J123" s="504">
        <f t="shared" si="23"/>
        <v>0</v>
      </c>
      <c r="K123" s="504"/>
      <c r="L123" s="512"/>
      <c r="M123" s="504">
        <f t="shared" si="28"/>
        <v>0</v>
      </c>
      <c r="N123" s="512"/>
      <c r="O123" s="504">
        <f t="shared" si="21"/>
        <v>0</v>
      </c>
      <c r="P123" s="504">
        <f t="shared" si="22"/>
        <v>0</v>
      </c>
      <c r="Q123" s="243"/>
      <c r="R123" s="243"/>
      <c r="S123" s="243"/>
      <c r="T123" s="243"/>
      <c r="U123" s="243"/>
    </row>
    <row r="124" spans="2:21">
      <c r="B124" s="145" t="str">
        <f t="shared" si="17"/>
        <v/>
      </c>
      <c r="C124" s="495">
        <f>IF(D94="","-",+C123+1)</f>
        <v>2039</v>
      </c>
      <c r="D124" s="349">
        <f>IF(F123+SUM(E$100:E123)=D$93,F123,D$93-SUM(E$100:E123))</f>
        <v>0</v>
      </c>
      <c r="E124" s="509">
        <f>IF(+J97&lt;F123,J97,D124)</f>
        <v>0</v>
      </c>
      <c r="F124" s="510">
        <f t="shared" si="24"/>
        <v>0</v>
      </c>
      <c r="G124" s="510">
        <f t="shared" si="25"/>
        <v>0</v>
      </c>
      <c r="H124" s="523">
        <f t="shared" si="26"/>
        <v>0</v>
      </c>
      <c r="I124" s="572">
        <f t="shared" si="27"/>
        <v>0</v>
      </c>
      <c r="J124" s="504">
        <f t="shared" si="23"/>
        <v>0</v>
      </c>
      <c r="K124" s="504"/>
      <c r="L124" s="512"/>
      <c r="M124" s="504">
        <f t="shared" si="28"/>
        <v>0</v>
      </c>
      <c r="N124" s="512"/>
      <c r="O124" s="504">
        <f t="shared" si="21"/>
        <v>0</v>
      </c>
      <c r="P124" s="504">
        <f t="shared" si="22"/>
        <v>0</v>
      </c>
      <c r="Q124" s="243"/>
      <c r="R124" s="243"/>
      <c r="S124" s="243"/>
      <c r="T124" s="243"/>
      <c r="U124" s="243"/>
    </row>
    <row r="125" spans="2:21">
      <c r="B125" s="145" t="str">
        <f t="shared" si="17"/>
        <v/>
      </c>
      <c r="C125" s="495">
        <f>IF(D94="","-",+C124+1)</f>
        <v>2040</v>
      </c>
      <c r="D125" s="349">
        <f>IF(F124+SUM(E$100:E124)=D$93,F124,D$93-SUM(E$100:E124))</f>
        <v>0</v>
      </c>
      <c r="E125" s="509">
        <f>IF(+J97&lt;F124,J97,D125)</f>
        <v>0</v>
      </c>
      <c r="F125" s="510">
        <f t="shared" si="24"/>
        <v>0</v>
      </c>
      <c r="G125" s="510">
        <f t="shared" si="25"/>
        <v>0</v>
      </c>
      <c r="H125" s="523">
        <f t="shared" si="26"/>
        <v>0</v>
      </c>
      <c r="I125" s="572">
        <f t="shared" si="27"/>
        <v>0</v>
      </c>
      <c r="J125" s="504">
        <f t="shared" si="23"/>
        <v>0</v>
      </c>
      <c r="K125" s="504"/>
      <c r="L125" s="512"/>
      <c r="M125" s="504">
        <f t="shared" si="28"/>
        <v>0</v>
      </c>
      <c r="N125" s="512"/>
      <c r="O125" s="504">
        <f t="shared" si="21"/>
        <v>0</v>
      </c>
      <c r="P125" s="504">
        <f t="shared" si="22"/>
        <v>0</v>
      </c>
      <c r="Q125" s="243"/>
      <c r="R125" s="243"/>
      <c r="S125" s="243"/>
      <c r="T125" s="243"/>
      <c r="U125" s="243"/>
    </row>
    <row r="126" spans="2:21">
      <c r="B126" s="145" t="str">
        <f t="shared" si="17"/>
        <v/>
      </c>
      <c r="C126" s="495">
        <f>IF(D94="","-",+C125+1)</f>
        <v>2041</v>
      </c>
      <c r="D126" s="349">
        <f>IF(F125+SUM(E$100:E125)=D$93,F125,D$93-SUM(E$100:E125))</f>
        <v>0</v>
      </c>
      <c r="E126" s="509">
        <f>IF(+J97&lt;F125,J97,D126)</f>
        <v>0</v>
      </c>
      <c r="F126" s="510">
        <f t="shared" si="24"/>
        <v>0</v>
      </c>
      <c r="G126" s="510">
        <f t="shared" si="25"/>
        <v>0</v>
      </c>
      <c r="H126" s="523">
        <f t="shared" si="26"/>
        <v>0</v>
      </c>
      <c r="I126" s="572">
        <f t="shared" si="27"/>
        <v>0</v>
      </c>
      <c r="J126" s="504">
        <f t="shared" si="23"/>
        <v>0</v>
      </c>
      <c r="K126" s="504"/>
      <c r="L126" s="512"/>
      <c r="M126" s="504">
        <f t="shared" si="28"/>
        <v>0</v>
      </c>
      <c r="N126" s="512"/>
      <c r="O126" s="504">
        <f t="shared" si="21"/>
        <v>0</v>
      </c>
      <c r="P126" s="504">
        <f t="shared" si="22"/>
        <v>0</v>
      </c>
      <c r="Q126" s="243"/>
      <c r="R126" s="243"/>
      <c r="S126" s="243"/>
      <c r="T126" s="243"/>
      <c r="U126" s="243"/>
    </row>
    <row r="127" spans="2:21">
      <c r="B127" s="145" t="str">
        <f t="shared" si="17"/>
        <v/>
      </c>
      <c r="C127" s="495">
        <f>IF(D94="","-",+C126+1)</f>
        <v>2042</v>
      </c>
      <c r="D127" s="349">
        <f>IF(F126+SUM(E$100:E126)=D$93,F126,D$93-SUM(E$100:E126))</f>
        <v>0</v>
      </c>
      <c r="E127" s="509">
        <f>IF(+J97&lt;F126,J97,D127)</f>
        <v>0</v>
      </c>
      <c r="F127" s="510">
        <f t="shared" si="24"/>
        <v>0</v>
      </c>
      <c r="G127" s="510">
        <f t="shared" si="25"/>
        <v>0</v>
      </c>
      <c r="H127" s="523">
        <f t="shared" si="26"/>
        <v>0</v>
      </c>
      <c r="I127" s="572">
        <f t="shared" si="27"/>
        <v>0</v>
      </c>
      <c r="J127" s="504">
        <f t="shared" si="23"/>
        <v>0</v>
      </c>
      <c r="K127" s="504"/>
      <c r="L127" s="512"/>
      <c r="M127" s="504">
        <f t="shared" si="28"/>
        <v>0</v>
      </c>
      <c r="N127" s="512"/>
      <c r="O127" s="504">
        <f t="shared" si="21"/>
        <v>0</v>
      </c>
      <c r="P127" s="504">
        <f t="shared" si="22"/>
        <v>0</v>
      </c>
      <c r="Q127" s="243"/>
      <c r="R127" s="243"/>
      <c r="S127" s="243"/>
      <c r="T127" s="243"/>
      <c r="U127" s="243"/>
    </row>
    <row r="128" spans="2:21">
      <c r="B128" s="145" t="str">
        <f t="shared" si="17"/>
        <v/>
      </c>
      <c r="C128" s="495">
        <f>IF(D94="","-",+C127+1)</f>
        <v>2043</v>
      </c>
      <c r="D128" s="349">
        <f>IF(F127+SUM(E$100:E127)=D$93,F127,D$93-SUM(E$100:E127))</f>
        <v>0</v>
      </c>
      <c r="E128" s="509">
        <f>IF(+J97&lt;F127,J97,D128)</f>
        <v>0</v>
      </c>
      <c r="F128" s="510">
        <f t="shared" si="24"/>
        <v>0</v>
      </c>
      <c r="G128" s="510">
        <f t="shared" si="25"/>
        <v>0</v>
      </c>
      <c r="H128" s="523">
        <f t="shared" si="26"/>
        <v>0</v>
      </c>
      <c r="I128" s="572">
        <f t="shared" si="27"/>
        <v>0</v>
      </c>
      <c r="J128" s="504">
        <f t="shared" si="23"/>
        <v>0</v>
      </c>
      <c r="K128" s="504"/>
      <c r="L128" s="512"/>
      <c r="M128" s="504">
        <f t="shared" si="28"/>
        <v>0</v>
      </c>
      <c r="N128" s="512"/>
      <c r="O128" s="504">
        <f t="shared" si="21"/>
        <v>0</v>
      </c>
      <c r="P128" s="504">
        <f t="shared" si="22"/>
        <v>0</v>
      </c>
      <c r="Q128" s="243"/>
      <c r="R128" s="243"/>
      <c r="S128" s="243"/>
      <c r="T128" s="243"/>
      <c r="U128" s="243"/>
    </row>
    <row r="129" spans="2:21">
      <c r="B129" s="145" t="str">
        <f t="shared" si="17"/>
        <v/>
      </c>
      <c r="C129" s="495">
        <f>IF(D94="","-",+C128+1)</f>
        <v>2044</v>
      </c>
      <c r="D129" s="349">
        <f>IF(F128+SUM(E$100:E128)=D$93,F128,D$93-SUM(E$100:E128))</f>
        <v>0</v>
      </c>
      <c r="E129" s="509">
        <f>IF(+J97&lt;F128,J97,D129)</f>
        <v>0</v>
      </c>
      <c r="F129" s="510">
        <f t="shared" si="24"/>
        <v>0</v>
      </c>
      <c r="G129" s="510">
        <f t="shared" si="25"/>
        <v>0</v>
      </c>
      <c r="H129" s="523">
        <f t="shared" si="26"/>
        <v>0</v>
      </c>
      <c r="I129" s="572">
        <f t="shared" si="27"/>
        <v>0</v>
      </c>
      <c r="J129" s="504">
        <f t="shared" si="23"/>
        <v>0</v>
      </c>
      <c r="K129" s="504"/>
      <c r="L129" s="512"/>
      <c r="M129" s="504">
        <f t="shared" si="28"/>
        <v>0</v>
      </c>
      <c r="N129" s="512"/>
      <c r="O129" s="504">
        <f t="shared" si="21"/>
        <v>0</v>
      </c>
      <c r="P129" s="504">
        <f t="shared" si="22"/>
        <v>0</v>
      </c>
      <c r="Q129" s="243"/>
      <c r="R129" s="243"/>
      <c r="S129" s="243"/>
      <c r="T129" s="243"/>
      <c r="U129" s="243"/>
    </row>
    <row r="130" spans="2:21">
      <c r="B130" s="145" t="str">
        <f t="shared" si="17"/>
        <v/>
      </c>
      <c r="C130" s="495">
        <f>IF(D94="","-",+C129+1)</f>
        <v>2045</v>
      </c>
      <c r="D130" s="349">
        <f>IF(F129+SUM(E$100:E129)=D$93,F129,D$93-SUM(E$100:E129))</f>
        <v>0</v>
      </c>
      <c r="E130" s="509">
        <f>IF(+J97&lt;F129,J97,D130)</f>
        <v>0</v>
      </c>
      <c r="F130" s="510">
        <f t="shared" si="24"/>
        <v>0</v>
      </c>
      <c r="G130" s="510">
        <f t="shared" si="25"/>
        <v>0</v>
      </c>
      <c r="H130" s="523">
        <f t="shared" si="26"/>
        <v>0</v>
      </c>
      <c r="I130" s="572">
        <f t="shared" si="27"/>
        <v>0</v>
      </c>
      <c r="J130" s="504">
        <f t="shared" si="23"/>
        <v>0</v>
      </c>
      <c r="K130" s="504"/>
      <c r="L130" s="512"/>
      <c r="M130" s="504">
        <f t="shared" si="28"/>
        <v>0</v>
      </c>
      <c r="N130" s="512"/>
      <c r="O130" s="504">
        <f t="shared" si="21"/>
        <v>0</v>
      </c>
      <c r="P130" s="504">
        <f t="shared" si="22"/>
        <v>0</v>
      </c>
      <c r="Q130" s="243"/>
      <c r="R130" s="243"/>
      <c r="S130" s="243"/>
      <c r="T130" s="243"/>
      <c r="U130" s="243"/>
    </row>
    <row r="131" spans="2:21">
      <c r="B131" s="145" t="str">
        <f t="shared" si="17"/>
        <v/>
      </c>
      <c r="C131" s="495">
        <f>IF(D94="","-",+C130+1)</f>
        <v>2046</v>
      </c>
      <c r="D131" s="349">
        <f>IF(F130+SUM(E$100:E130)=D$93,F130,D$93-SUM(E$100:E130))</f>
        <v>0</v>
      </c>
      <c r="E131" s="509">
        <f>IF(+J97&lt;F130,J97,D131)</f>
        <v>0</v>
      </c>
      <c r="F131" s="510">
        <f t="shared" si="24"/>
        <v>0</v>
      </c>
      <c r="G131" s="510">
        <f t="shared" si="25"/>
        <v>0</v>
      </c>
      <c r="H131" s="523">
        <f t="shared" si="26"/>
        <v>0</v>
      </c>
      <c r="I131" s="572">
        <f t="shared" si="27"/>
        <v>0</v>
      </c>
      <c r="J131" s="504">
        <f t="shared" si="23"/>
        <v>0</v>
      </c>
      <c r="K131" s="504"/>
      <c r="L131" s="512"/>
      <c r="M131" s="504">
        <f t="shared" si="28"/>
        <v>0</v>
      </c>
      <c r="N131" s="512"/>
      <c r="O131" s="504">
        <f t="shared" si="21"/>
        <v>0</v>
      </c>
      <c r="P131" s="504">
        <f t="shared" si="22"/>
        <v>0</v>
      </c>
      <c r="Q131" s="243"/>
      <c r="R131" s="243"/>
      <c r="S131" s="243"/>
      <c r="T131" s="243"/>
      <c r="U131" s="243"/>
    </row>
    <row r="132" spans="2:21">
      <c r="B132" s="145" t="str">
        <f t="shared" si="17"/>
        <v/>
      </c>
      <c r="C132" s="495">
        <f>IF(D94="","-",+C131+1)</f>
        <v>2047</v>
      </c>
      <c r="D132" s="349">
        <f>IF(F131+SUM(E$100:E131)=D$93,F131,D$93-SUM(E$100:E131))</f>
        <v>0</v>
      </c>
      <c r="E132" s="509">
        <f>IF(+J97&lt;F131,J97,D132)</f>
        <v>0</v>
      </c>
      <c r="F132" s="510">
        <f t="shared" si="24"/>
        <v>0</v>
      </c>
      <c r="G132" s="510">
        <f t="shared" si="25"/>
        <v>0</v>
      </c>
      <c r="H132" s="523">
        <f t="shared" si="26"/>
        <v>0</v>
      </c>
      <c r="I132" s="572">
        <f t="shared" si="27"/>
        <v>0</v>
      </c>
      <c r="J132" s="504">
        <f t="shared" ref="J132:J155" si="29">+I542-H542</f>
        <v>0</v>
      </c>
      <c r="K132" s="504"/>
      <c r="L132" s="512"/>
      <c r="M132" s="504">
        <f t="shared" ref="M132:M155" si="30">IF(L542&lt;&gt;0,+H542-L542,0)</f>
        <v>0</v>
      </c>
      <c r="N132" s="512"/>
      <c r="O132" s="504">
        <f t="shared" ref="O132:O155" si="31">IF(N542&lt;&gt;0,+I542-N542,0)</f>
        <v>0</v>
      </c>
      <c r="P132" s="504">
        <f t="shared" ref="P132:P155" si="32">+O542-M542</f>
        <v>0</v>
      </c>
      <c r="Q132" s="243"/>
      <c r="R132" s="243"/>
      <c r="S132" s="243"/>
      <c r="T132" s="243"/>
      <c r="U132" s="243"/>
    </row>
    <row r="133" spans="2:21">
      <c r="B133" s="145" t="str">
        <f t="shared" si="17"/>
        <v/>
      </c>
      <c r="C133" s="495">
        <f>IF(D94="","-",+C132+1)</f>
        <v>2048</v>
      </c>
      <c r="D133" s="349">
        <f>IF(F132+SUM(E$100:E132)=D$93,F132,D$93-SUM(E$100:E132))</f>
        <v>0</v>
      </c>
      <c r="E133" s="509">
        <f>IF(+J97&lt;F132,J97,D133)</f>
        <v>0</v>
      </c>
      <c r="F133" s="510">
        <f t="shared" si="24"/>
        <v>0</v>
      </c>
      <c r="G133" s="510">
        <f t="shared" si="25"/>
        <v>0</v>
      </c>
      <c r="H133" s="523">
        <f t="shared" si="26"/>
        <v>0</v>
      </c>
      <c r="I133" s="572">
        <f t="shared" si="27"/>
        <v>0</v>
      </c>
      <c r="J133" s="504">
        <f t="shared" si="29"/>
        <v>0</v>
      </c>
      <c r="K133" s="504"/>
      <c r="L133" s="512"/>
      <c r="M133" s="504">
        <f t="shared" si="30"/>
        <v>0</v>
      </c>
      <c r="N133" s="512"/>
      <c r="O133" s="504">
        <f t="shared" si="31"/>
        <v>0</v>
      </c>
      <c r="P133" s="504">
        <f t="shared" si="32"/>
        <v>0</v>
      </c>
      <c r="Q133" s="243"/>
      <c r="R133" s="243"/>
      <c r="S133" s="243"/>
      <c r="T133" s="243"/>
      <c r="U133" s="243"/>
    </row>
    <row r="134" spans="2:21">
      <c r="B134" s="145" t="str">
        <f t="shared" si="17"/>
        <v/>
      </c>
      <c r="C134" s="495">
        <f>IF(D94="","-",+C133+1)</f>
        <v>2049</v>
      </c>
      <c r="D134" s="349">
        <f>IF(F133+SUM(E$100:E133)=D$93,F133,D$93-SUM(E$100:E133))</f>
        <v>0</v>
      </c>
      <c r="E134" s="509">
        <f>IF(+J97&lt;F133,J97,D134)</f>
        <v>0</v>
      </c>
      <c r="F134" s="510">
        <f t="shared" si="24"/>
        <v>0</v>
      </c>
      <c r="G134" s="510">
        <f t="shared" si="25"/>
        <v>0</v>
      </c>
      <c r="H134" s="523">
        <f t="shared" si="26"/>
        <v>0</v>
      </c>
      <c r="I134" s="572">
        <f t="shared" si="27"/>
        <v>0</v>
      </c>
      <c r="J134" s="504">
        <f t="shared" si="29"/>
        <v>0</v>
      </c>
      <c r="K134" s="504"/>
      <c r="L134" s="512"/>
      <c r="M134" s="504">
        <f t="shared" si="30"/>
        <v>0</v>
      </c>
      <c r="N134" s="512"/>
      <c r="O134" s="504">
        <f t="shared" si="31"/>
        <v>0</v>
      </c>
      <c r="P134" s="504">
        <f t="shared" si="32"/>
        <v>0</v>
      </c>
      <c r="Q134" s="243"/>
      <c r="R134" s="243"/>
      <c r="S134" s="243"/>
      <c r="T134" s="243"/>
      <c r="U134" s="243"/>
    </row>
    <row r="135" spans="2:21">
      <c r="B135" s="145" t="str">
        <f t="shared" si="17"/>
        <v/>
      </c>
      <c r="C135" s="495">
        <f>IF(D94="","-",+C134+1)</f>
        <v>2050</v>
      </c>
      <c r="D135" s="349">
        <f>IF(F134+SUM(E$100:E134)=D$93,F134,D$93-SUM(E$100:E134))</f>
        <v>0</v>
      </c>
      <c r="E135" s="509">
        <f>IF(+J97&lt;F134,J97,D135)</f>
        <v>0</v>
      </c>
      <c r="F135" s="510">
        <f t="shared" si="24"/>
        <v>0</v>
      </c>
      <c r="G135" s="510">
        <f t="shared" si="25"/>
        <v>0</v>
      </c>
      <c r="H135" s="523">
        <f t="shared" si="26"/>
        <v>0</v>
      </c>
      <c r="I135" s="572">
        <f t="shared" si="27"/>
        <v>0</v>
      </c>
      <c r="J135" s="504">
        <f t="shared" si="29"/>
        <v>0</v>
      </c>
      <c r="K135" s="504"/>
      <c r="L135" s="512"/>
      <c r="M135" s="504">
        <f t="shared" si="30"/>
        <v>0</v>
      </c>
      <c r="N135" s="512"/>
      <c r="O135" s="504">
        <f t="shared" si="31"/>
        <v>0</v>
      </c>
      <c r="P135" s="504">
        <f t="shared" si="32"/>
        <v>0</v>
      </c>
      <c r="Q135" s="243"/>
      <c r="R135" s="243"/>
      <c r="S135" s="243"/>
      <c r="T135" s="243"/>
      <c r="U135" s="243"/>
    </row>
    <row r="136" spans="2:21">
      <c r="B136" s="145" t="str">
        <f t="shared" si="17"/>
        <v/>
      </c>
      <c r="C136" s="495">
        <f>IF(D94="","-",+C135+1)</f>
        <v>2051</v>
      </c>
      <c r="D136" s="349">
        <f>IF(F135+SUM(E$100:E135)=D$93,F135,D$93-SUM(E$100:E135))</f>
        <v>0</v>
      </c>
      <c r="E136" s="509">
        <f>IF(+J97&lt;F135,J97,D136)</f>
        <v>0</v>
      </c>
      <c r="F136" s="510">
        <f t="shared" si="24"/>
        <v>0</v>
      </c>
      <c r="G136" s="510">
        <f t="shared" si="25"/>
        <v>0</v>
      </c>
      <c r="H136" s="523">
        <f t="shared" si="26"/>
        <v>0</v>
      </c>
      <c r="I136" s="572">
        <f t="shared" si="27"/>
        <v>0</v>
      </c>
      <c r="J136" s="504">
        <f t="shared" si="29"/>
        <v>0</v>
      </c>
      <c r="K136" s="504"/>
      <c r="L136" s="512"/>
      <c r="M136" s="504">
        <f t="shared" si="30"/>
        <v>0</v>
      </c>
      <c r="N136" s="512"/>
      <c r="O136" s="504">
        <f t="shared" si="31"/>
        <v>0</v>
      </c>
      <c r="P136" s="504">
        <f t="shared" si="32"/>
        <v>0</v>
      </c>
      <c r="Q136" s="243"/>
      <c r="R136" s="243"/>
      <c r="S136" s="243"/>
      <c r="T136" s="243"/>
      <c r="U136" s="243"/>
    </row>
    <row r="137" spans="2:21">
      <c r="B137" s="145" t="str">
        <f t="shared" si="17"/>
        <v/>
      </c>
      <c r="C137" s="495">
        <f>IF(D94="","-",+C136+1)</f>
        <v>2052</v>
      </c>
      <c r="D137" s="349">
        <f>IF(F136+SUM(E$100:E136)=D$93,F136,D$93-SUM(E$100:E136))</f>
        <v>0</v>
      </c>
      <c r="E137" s="509">
        <f>IF(+J97&lt;F136,J97,D137)</f>
        <v>0</v>
      </c>
      <c r="F137" s="510">
        <f t="shared" si="24"/>
        <v>0</v>
      </c>
      <c r="G137" s="510">
        <f t="shared" si="25"/>
        <v>0</v>
      </c>
      <c r="H137" s="523">
        <f t="shared" si="26"/>
        <v>0</v>
      </c>
      <c r="I137" s="572">
        <f t="shared" si="27"/>
        <v>0</v>
      </c>
      <c r="J137" s="504">
        <f t="shared" si="29"/>
        <v>0</v>
      </c>
      <c r="K137" s="504"/>
      <c r="L137" s="512"/>
      <c r="M137" s="504">
        <f t="shared" si="30"/>
        <v>0</v>
      </c>
      <c r="N137" s="512"/>
      <c r="O137" s="504">
        <f t="shared" si="31"/>
        <v>0</v>
      </c>
      <c r="P137" s="504">
        <f t="shared" si="32"/>
        <v>0</v>
      </c>
      <c r="Q137" s="243"/>
      <c r="R137" s="243"/>
      <c r="S137" s="243"/>
      <c r="T137" s="243"/>
      <c r="U137" s="243"/>
    </row>
    <row r="138" spans="2:21">
      <c r="B138" s="145" t="str">
        <f t="shared" si="17"/>
        <v/>
      </c>
      <c r="C138" s="495">
        <f>IF(D94="","-",+C137+1)</f>
        <v>2053</v>
      </c>
      <c r="D138" s="349">
        <f>IF(F137+SUM(E$100:E137)=D$93,F137,D$93-SUM(E$100:E137))</f>
        <v>0</v>
      </c>
      <c r="E138" s="509">
        <f>IF(+J97&lt;F137,J97,D138)</f>
        <v>0</v>
      </c>
      <c r="F138" s="510">
        <f t="shared" si="24"/>
        <v>0</v>
      </c>
      <c r="G138" s="510">
        <f t="shared" si="25"/>
        <v>0</v>
      </c>
      <c r="H138" s="523">
        <f t="shared" si="26"/>
        <v>0</v>
      </c>
      <c r="I138" s="572">
        <f t="shared" si="27"/>
        <v>0</v>
      </c>
      <c r="J138" s="504">
        <f t="shared" si="29"/>
        <v>0</v>
      </c>
      <c r="K138" s="504"/>
      <c r="L138" s="512"/>
      <c r="M138" s="504">
        <f t="shared" si="30"/>
        <v>0</v>
      </c>
      <c r="N138" s="512"/>
      <c r="O138" s="504">
        <f t="shared" si="31"/>
        <v>0</v>
      </c>
      <c r="P138" s="504">
        <f t="shared" si="32"/>
        <v>0</v>
      </c>
      <c r="Q138" s="243"/>
      <c r="R138" s="243"/>
      <c r="S138" s="243"/>
      <c r="T138" s="243"/>
      <c r="U138" s="243"/>
    </row>
    <row r="139" spans="2:21">
      <c r="B139" s="145" t="str">
        <f t="shared" si="17"/>
        <v/>
      </c>
      <c r="C139" s="495">
        <f>IF(D94="","-",+C138+1)</f>
        <v>2054</v>
      </c>
      <c r="D139" s="349">
        <f>IF(F138+SUM(E$100:E138)=D$93,F138,D$93-SUM(E$100:E138))</f>
        <v>0</v>
      </c>
      <c r="E139" s="509">
        <f>IF(+J97&lt;F138,J97,D139)</f>
        <v>0</v>
      </c>
      <c r="F139" s="510">
        <f t="shared" si="24"/>
        <v>0</v>
      </c>
      <c r="G139" s="510">
        <f t="shared" si="25"/>
        <v>0</v>
      </c>
      <c r="H139" s="523">
        <f t="shared" si="26"/>
        <v>0</v>
      </c>
      <c r="I139" s="572">
        <f t="shared" si="27"/>
        <v>0</v>
      </c>
      <c r="J139" s="504">
        <f t="shared" si="29"/>
        <v>0</v>
      </c>
      <c r="K139" s="504"/>
      <c r="L139" s="512"/>
      <c r="M139" s="504">
        <f t="shared" si="30"/>
        <v>0</v>
      </c>
      <c r="N139" s="512"/>
      <c r="O139" s="504">
        <f t="shared" si="31"/>
        <v>0</v>
      </c>
      <c r="P139" s="504">
        <f t="shared" si="32"/>
        <v>0</v>
      </c>
      <c r="Q139" s="243"/>
      <c r="R139" s="243"/>
      <c r="S139" s="243"/>
      <c r="T139" s="243"/>
      <c r="U139" s="243"/>
    </row>
    <row r="140" spans="2:21">
      <c r="B140" s="145" t="str">
        <f t="shared" si="17"/>
        <v/>
      </c>
      <c r="C140" s="495">
        <f>IF(D94="","-",+C139+1)</f>
        <v>2055</v>
      </c>
      <c r="D140" s="349">
        <f>IF(F139+SUM(E$100:E139)=D$93,F139,D$93-SUM(E$100:E139))</f>
        <v>0</v>
      </c>
      <c r="E140" s="509">
        <f>IF(+J97&lt;F139,J97,D140)</f>
        <v>0</v>
      </c>
      <c r="F140" s="510">
        <f t="shared" si="24"/>
        <v>0</v>
      </c>
      <c r="G140" s="510">
        <f t="shared" si="25"/>
        <v>0</v>
      </c>
      <c r="H140" s="523">
        <f t="shared" si="26"/>
        <v>0</v>
      </c>
      <c r="I140" s="572">
        <f t="shared" si="27"/>
        <v>0</v>
      </c>
      <c r="J140" s="504">
        <f t="shared" si="29"/>
        <v>0</v>
      </c>
      <c r="K140" s="504"/>
      <c r="L140" s="512"/>
      <c r="M140" s="504">
        <f t="shared" si="30"/>
        <v>0</v>
      </c>
      <c r="N140" s="512"/>
      <c r="O140" s="504">
        <f t="shared" si="31"/>
        <v>0</v>
      </c>
      <c r="P140" s="504">
        <f t="shared" si="32"/>
        <v>0</v>
      </c>
      <c r="Q140" s="243"/>
      <c r="R140" s="243"/>
      <c r="S140" s="243"/>
      <c r="T140" s="243"/>
      <c r="U140" s="243"/>
    </row>
    <row r="141" spans="2:21">
      <c r="B141" s="145" t="str">
        <f t="shared" si="17"/>
        <v/>
      </c>
      <c r="C141" s="495">
        <f>IF(D94="","-",+C140+1)</f>
        <v>2056</v>
      </c>
      <c r="D141" s="349">
        <f>IF(F140+SUM(E$100:E140)=D$93,F140,D$93-SUM(E$100:E140))</f>
        <v>0</v>
      </c>
      <c r="E141" s="509">
        <f>IF(+J97&lt;F140,J97,D141)</f>
        <v>0</v>
      </c>
      <c r="F141" s="510">
        <f t="shared" si="24"/>
        <v>0</v>
      </c>
      <c r="G141" s="510">
        <f t="shared" si="25"/>
        <v>0</v>
      </c>
      <c r="H141" s="523">
        <f t="shared" si="26"/>
        <v>0</v>
      </c>
      <c r="I141" s="572">
        <f t="shared" si="27"/>
        <v>0</v>
      </c>
      <c r="J141" s="504">
        <f t="shared" si="29"/>
        <v>0</v>
      </c>
      <c r="K141" s="504"/>
      <c r="L141" s="512"/>
      <c r="M141" s="504">
        <f t="shared" si="30"/>
        <v>0</v>
      </c>
      <c r="N141" s="512"/>
      <c r="O141" s="504">
        <f t="shared" si="31"/>
        <v>0</v>
      </c>
      <c r="P141" s="504">
        <f t="shared" si="32"/>
        <v>0</v>
      </c>
      <c r="Q141" s="243"/>
      <c r="R141" s="243"/>
      <c r="S141" s="243"/>
      <c r="T141" s="243"/>
      <c r="U141" s="243"/>
    </row>
    <row r="142" spans="2:21">
      <c r="B142" s="145" t="str">
        <f t="shared" si="17"/>
        <v/>
      </c>
      <c r="C142" s="495">
        <f>IF(D94="","-",+C141+1)</f>
        <v>2057</v>
      </c>
      <c r="D142" s="349">
        <f>IF(F141+SUM(E$100:E141)=D$93,F141,D$93-SUM(E$100:E141))</f>
        <v>0</v>
      </c>
      <c r="E142" s="509">
        <f>IF(+J97&lt;F141,J97,D142)</f>
        <v>0</v>
      </c>
      <c r="F142" s="510">
        <f t="shared" si="24"/>
        <v>0</v>
      </c>
      <c r="G142" s="510">
        <f t="shared" si="25"/>
        <v>0</v>
      </c>
      <c r="H142" s="523">
        <f t="shared" si="26"/>
        <v>0</v>
      </c>
      <c r="I142" s="572">
        <f t="shared" si="27"/>
        <v>0</v>
      </c>
      <c r="J142" s="504">
        <f t="shared" si="29"/>
        <v>0</v>
      </c>
      <c r="K142" s="504"/>
      <c r="L142" s="512"/>
      <c r="M142" s="504">
        <f t="shared" si="30"/>
        <v>0</v>
      </c>
      <c r="N142" s="512"/>
      <c r="O142" s="504">
        <f t="shared" si="31"/>
        <v>0</v>
      </c>
      <c r="P142" s="504">
        <f t="shared" si="32"/>
        <v>0</v>
      </c>
      <c r="Q142" s="243"/>
      <c r="R142" s="243"/>
      <c r="S142" s="243"/>
      <c r="T142" s="243"/>
      <c r="U142" s="243"/>
    </row>
    <row r="143" spans="2:21">
      <c r="B143" s="145" t="str">
        <f t="shared" si="17"/>
        <v/>
      </c>
      <c r="C143" s="495">
        <f>IF(D94="","-",+C142+1)</f>
        <v>2058</v>
      </c>
      <c r="D143" s="349">
        <f>IF(F142+SUM(E$100:E142)=D$93,F142,D$93-SUM(E$100:E142))</f>
        <v>0</v>
      </c>
      <c r="E143" s="509">
        <f>IF(+J97&lt;F142,J97,D143)</f>
        <v>0</v>
      </c>
      <c r="F143" s="510">
        <f t="shared" si="24"/>
        <v>0</v>
      </c>
      <c r="G143" s="510">
        <f t="shared" si="25"/>
        <v>0</v>
      </c>
      <c r="H143" s="523">
        <f t="shared" si="26"/>
        <v>0</v>
      </c>
      <c r="I143" s="572">
        <f t="shared" si="27"/>
        <v>0</v>
      </c>
      <c r="J143" s="504">
        <f t="shared" si="29"/>
        <v>0</v>
      </c>
      <c r="K143" s="504"/>
      <c r="L143" s="512"/>
      <c r="M143" s="504">
        <f t="shared" si="30"/>
        <v>0</v>
      </c>
      <c r="N143" s="512"/>
      <c r="O143" s="504">
        <f t="shared" si="31"/>
        <v>0</v>
      </c>
      <c r="P143" s="504">
        <f t="shared" si="32"/>
        <v>0</v>
      </c>
      <c r="Q143" s="243"/>
      <c r="R143" s="243"/>
      <c r="S143" s="243"/>
      <c r="T143" s="243"/>
      <c r="U143" s="243"/>
    </row>
    <row r="144" spans="2:21">
      <c r="B144" s="145" t="str">
        <f t="shared" si="17"/>
        <v/>
      </c>
      <c r="C144" s="495">
        <f>IF(D94="","-",+C143+1)</f>
        <v>2059</v>
      </c>
      <c r="D144" s="349">
        <f>IF(F143+SUM(E$100:E143)=D$93,F143,D$93-SUM(E$100:E143))</f>
        <v>0</v>
      </c>
      <c r="E144" s="509">
        <f>IF(+J97&lt;F143,J97,D144)</f>
        <v>0</v>
      </c>
      <c r="F144" s="510">
        <f t="shared" si="24"/>
        <v>0</v>
      </c>
      <c r="G144" s="510">
        <f t="shared" si="25"/>
        <v>0</v>
      </c>
      <c r="H144" s="523">
        <f t="shared" si="26"/>
        <v>0</v>
      </c>
      <c r="I144" s="572">
        <f t="shared" si="27"/>
        <v>0</v>
      </c>
      <c r="J144" s="504">
        <f t="shared" si="29"/>
        <v>0</v>
      </c>
      <c r="K144" s="504"/>
      <c r="L144" s="512"/>
      <c r="M144" s="504">
        <f t="shared" si="30"/>
        <v>0</v>
      </c>
      <c r="N144" s="512"/>
      <c r="O144" s="504">
        <f t="shared" si="31"/>
        <v>0</v>
      </c>
      <c r="P144" s="504">
        <f t="shared" si="32"/>
        <v>0</v>
      </c>
      <c r="Q144" s="243"/>
      <c r="R144" s="243"/>
      <c r="S144" s="243"/>
      <c r="T144" s="243"/>
      <c r="U144" s="243"/>
    </row>
    <row r="145" spans="2:21">
      <c r="B145" s="145" t="str">
        <f t="shared" si="17"/>
        <v/>
      </c>
      <c r="C145" s="495">
        <f>IF(D94="","-",+C144+1)</f>
        <v>2060</v>
      </c>
      <c r="D145" s="349">
        <f>IF(F144+SUM(E$100:E144)=D$93,F144,D$93-SUM(E$100:E144))</f>
        <v>0</v>
      </c>
      <c r="E145" s="509">
        <f>IF(+J97&lt;F144,J97,D145)</f>
        <v>0</v>
      </c>
      <c r="F145" s="510">
        <f t="shared" si="24"/>
        <v>0</v>
      </c>
      <c r="G145" s="510">
        <f t="shared" si="25"/>
        <v>0</v>
      </c>
      <c r="H145" s="523">
        <f t="shared" si="26"/>
        <v>0</v>
      </c>
      <c r="I145" s="572">
        <f t="shared" si="27"/>
        <v>0</v>
      </c>
      <c r="J145" s="504">
        <f t="shared" si="29"/>
        <v>0</v>
      </c>
      <c r="K145" s="504"/>
      <c r="L145" s="512"/>
      <c r="M145" s="504">
        <f t="shared" si="30"/>
        <v>0</v>
      </c>
      <c r="N145" s="512"/>
      <c r="O145" s="504">
        <f t="shared" si="31"/>
        <v>0</v>
      </c>
      <c r="P145" s="504">
        <f t="shared" si="32"/>
        <v>0</v>
      </c>
      <c r="Q145" s="243"/>
      <c r="R145" s="243"/>
      <c r="S145" s="243"/>
      <c r="T145" s="243"/>
      <c r="U145" s="243"/>
    </row>
    <row r="146" spans="2:21">
      <c r="B146" s="145" t="str">
        <f t="shared" si="17"/>
        <v/>
      </c>
      <c r="C146" s="495">
        <f>IF(D94="","-",+C145+1)</f>
        <v>2061</v>
      </c>
      <c r="D146" s="349">
        <f>IF(F145+SUM(E$100:E145)=D$93,F145,D$93-SUM(E$100:E145))</f>
        <v>0</v>
      </c>
      <c r="E146" s="509">
        <f>IF(+J97&lt;F145,J97,D146)</f>
        <v>0</v>
      </c>
      <c r="F146" s="510">
        <f t="shared" si="24"/>
        <v>0</v>
      </c>
      <c r="G146" s="510">
        <f t="shared" si="25"/>
        <v>0</v>
      </c>
      <c r="H146" s="523">
        <f t="shared" si="26"/>
        <v>0</v>
      </c>
      <c r="I146" s="572">
        <f t="shared" si="27"/>
        <v>0</v>
      </c>
      <c r="J146" s="504">
        <f t="shared" si="29"/>
        <v>0</v>
      </c>
      <c r="K146" s="504"/>
      <c r="L146" s="512"/>
      <c r="M146" s="504">
        <f t="shared" si="30"/>
        <v>0</v>
      </c>
      <c r="N146" s="512"/>
      <c r="O146" s="504">
        <f t="shared" si="31"/>
        <v>0</v>
      </c>
      <c r="P146" s="504">
        <f t="shared" si="32"/>
        <v>0</v>
      </c>
      <c r="Q146" s="243"/>
      <c r="R146" s="243"/>
      <c r="S146" s="243"/>
      <c r="T146" s="243"/>
      <c r="U146" s="243"/>
    </row>
    <row r="147" spans="2:21">
      <c r="B147" s="145" t="str">
        <f t="shared" si="17"/>
        <v/>
      </c>
      <c r="C147" s="495">
        <f>IF(D94="","-",+C146+1)</f>
        <v>2062</v>
      </c>
      <c r="D147" s="349">
        <f>IF(F146+SUM(E$100:E146)=D$93,F146,D$93-SUM(E$100:E146))</f>
        <v>0</v>
      </c>
      <c r="E147" s="509">
        <f>IF(+J97&lt;F146,J97,D147)</f>
        <v>0</v>
      </c>
      <c r="F147" s="510">
        <f t="shared" si="24"/>
        <v>0</v>
      </c>
      <c r="G147" s="510">
        <f t="shared" si="25"/>
        <v>0</v>
      </c>
      <c r="H147" s="523">
        <f t="shared" si="26"/>
        <v>0</v>
      </c>
      <c r="I147" s="572">
        <f t="shared" si="27"/>
        <v>0</v>
      </c>
      <c r="J147" s="504">
        <f t="shared" si="29"/>
        <v>0</v>
      </c>
      <c r="K147" s="504"/>
      <c r="L147" s="512"/>
      <c r="M147" s="504">
        <f t="shared" si="30"/>
        <v>0</v>
      </c>
      <c r="N147" s="512"/>
      <c r="O147" s="504">
        <f t="shared" si="31"/>
        <v>0</v>
      </c>
      <c r="P147" s="504">
        <f t="shared" si="32"/>
        <v>0</v>
      </c>
      <c r="Q147" s="243"/>
      <c r="R147" s="243"/>
      <c r="S147" s="243"/>
      <c r="T147" s="243"/>
      <c r="U147" s="243"/>
    </row>
    <row r="148" spans="2:21">
      <c r="B148" s="145" t="str">
        <f t="shared" si="17"/>
        <v/>
      </c>
      <c r="C148" s="495">
        <f>IF(D94="","-",+C147+1)</f>
        <v>2063</v>
      </c>
      <c r="D148" s="349">
        <f>IF(F147+SUM(E$100:E147)=D$93,F147,D$93-SUM(E$100:E147))</f>
        <v>0</v>
      </c>
      <c r="E148" s="509">
        <f>IF(+J97&lt;F147,J97,D148)</f>
        <v>0</v>
      </c>
      <c r="F148" s="510">
        <f t="shared" si="24"/>
        <v>0</v>
      </c>
      <c r="G148" s="510">
        <f t="shared" si="25"/>
        <v>0</v>
      </c>
      <c r="H148" s="523">
        <f t="shared" si="26"/>
        <v>0</v>
      </c>
      <c r="I148" s="572">
        <f t="shared" si="27"/>
        <v>0</v>
      </c>
      <c r="J148" s="504">
        <f t="shared" si="29"/>
        <v>0</v>
      </c>
      <c r="K148" s="504"/>
      <c r="L148" s="512"/>
      <c r="M148" s="504">
        <f t="shared" si="30"/>
        <v>0</v>
      </c>
      <c r="N148" s="512"/>
      <c r="O148" s="504">
        <f t="shared" si="31"/>
        <v>0</v>
      </c>
      <c r="P148" s="504">
        <f t="shared" si="32"/>
        <v>0</v>
      </c>
      <c r="Q148" s="243"/>
      <c r="R148" s="243"/>
      <c r="S148" s="243"/>
      <c r="T148" s="243"/>
      <c r="U148" s="243"/>
    </row>
    <row r="149" spans="2:21">
      <c r="B149" s="145" t="str">
        <f t="shared" si="17"/>
        <v/>
      </c>
      <c r="C149" s="495">
        <f>IF(D94="","-",+C148+1)</f>
        <v>2064</v>
      </c>
      <c r="D149" s="349">
        <f>IF(F148+SUM(E$100:E148)=D$93,F148,D$93-SUM(E$100:E148))</f>
        <v>0</v>
      </c>
      <c r="E149" s="509">
        <f>IF(+J97&lt;F148,J97,D149)</f>
        <v>0</v>
      </c>
      <c r="F149" s="510">
        <f t="shared" si="24"/>
        <v>0</v>
      </c>
      <c r="G149" s="510">
        <f t="shared" si="25"/>
        <v>0</v>
      </c>
      <c r="H149" s="523">
        <f t="shared" si="26"/>
        <v>0</v>
      </c>
      <c r="I149" s="572">
        <f t="shared" si="27"/>
        <v>0</v>
      </c>
      <c r="J149" s="504">
        <f t="shared" si="29"/>
        <v>0</v>
      </c>
      <c r="K149" s="504"/>
      <c r="L149" s="512"/>
      <c r="M149" s="504">
        <f t="shared" si="30"/>
        <v>0</v>
      </c>
      <c r="N149" s="512"/>
      <c r="O149" s="504">
        <f t="shared" si="31"/>
        <v>0</v>
      </c>
      <c r="P149" s="504">
        <f t="shared" si="32"/>
        <v>0</v>
      </c>
      <c r="Q149" s="243"/>
      <c r="R149" s="243"/>
      <c r="S149" s="243"/>
      <c r="T149" s="243"/>
      <c r="U149" s="243"/>
    </row>
    <row r="150" spans="2:21">
      <c r="B150" s="145" t="str">
        <f t="shared" si="17"/>
        <v/>
      </c>
      <c r="C150" s="495">
        <f>IF(D94="","-",+C149+1)</f>
        <v>2065</v>
      </c>
      <c r="D150" s="349">
        <f>IF(F149+SUM(E$100:E149)=D$93,F149,D$93-SUM(E$100:E149))</f>
        <v>0</v>
      </c>
      <c r="E150" s="509">
        <f>IF(+J97&lt;F149,J97,D150)</f>
        <v>0</v>
      </c>
      <c r="F150" s="510">
        <f t="shared" si="24"/>
        <v>0</v>
      </c>
      <c r="G150" s="510">
        <f t="shared" si="25"/>
        <v>0</v>
      </c>
      <c r="H150" s="523">
        <f t="shared" si="26"/>
        <v>0</v>
      </c>
      <c r="I150" s="572">
        <f t="shared" si="27"/>
        <v>0</v>
      </c>
      <c r="J150" s="504">
        <f t="shared" si="29"/>
        <v>0</v>
      </c>
      <c r="K150" s="504"/>
      <c r="L150" s="512"/>
      <c r="M150" s="504">
        <f t="shared" si="30"/>
        <v>0</v>
      </c>
      <c r="N150" s="512"/>
      <c r="O150" s="504">
        <f t="shared" si="31"/>
        <v>0</v>
      </c>
      <c r="P150" s="504">
        <f t="shared" si="32"/>
        <v>0</v>
      </c>
      <c r="Q150" s="243"/>
      <c r="R150" s="243"/>
      <c r="S150" s="243"/>
      <c r="T150" s="243"/>
      <c r="U150" s="243"/>
    </row>
    <row r="151" spans="2:21">
      <c r="B151" s="145" t="str">
        <f t="shared" si="17"/>
        <v/>
      </c>
      <c r="C151" s="495">
        <f>IF(D94="","-",+C150+1)</f>
        <v>2066</v>
      </c>
      <c r="D151" s="349">
        <f>IF(F150+SUM(E$100:E150)=D$93,F150,D$93-SUM(E$100:E150))</f>
        <v>0</v>
      </c>
      <c r="E151" s="509">
        <f>IF(+J97&lt;F150,J97,D151)</f>
        <v>0</v>
      </c>
      <c r="F151" s="510">
        <f t="shared" si="24"/>
        <v>0</v>
      </c>
      <c r="G151" s="510">
        <f t="shared" si="25"/>
        <v>0</v>
      </c>
      <c r="H151" s="523">
        <f t="shared" si="26"/>
        <v>0</v>
      </c>
      <c r="I151" s="572">
        <f t="shared" si="27"/>
        <v>0</v>
      </c>
      <c r="J151" s="504">
        <f t="shared" si="29"/>
        <v>0</v>
      </c>
      <c r="K151" s="504"/>
      <c r="L151" s="512"/>
      <c r="M151" s="504">
        <f t="shared" si="30"/>
        <v>0</v>
      </c>
      <c r="N151" s="512"/>
      <c r="O151" s="504">
        <f t="shared" si="31"/>
        <v>0</v>
      </c>
      <c r="P151" s="504">
        <f t="shared" si="32"/>
        <v>0</v>
      </c>
      <c r="Q151" s="243"/>
      <c r="R151" s="243"/>
      <c r="S151" s="243"/>
      <c r="T151" s="243"/>
      <c r="U151" s="243"/>
    </row>
    <row r="152" spans="2:21">
      <c r="B152" s="145" t="str">
        <f t="shared" si="17"/>
        <v/>
      </c>
      <c r="C152" s="495">
        <f>IF(D94="","-",+C151+1)</f>
        <v>2067</v>
      </c>
      <c r="D152" s="349">
        <f>IF(F151+SUM(E$100:E151)=D$93,F151,D$93-SUM(E$100:E151))</f>
        <v>0</v>
      </c>
      <c r="E152" s="509">
        <f>IF(+J97&lt;F151,J97,D152)</f>
        <v>0</v>
      </c>
      <c r="F152" s="510">
        <f t="shared" si="24"/>
        <v>0</v>
      </c>
      <c r="G152" s="510">
        <f t="shared" si="25"/>
        <v>0</v>
      </c>
      <c r="H152" s="523">
        <f t="shared" si="26"/>
        <v>0</v>
      </c>
      <c r="I152" s="572">
        <f t="shared" si="27"/>
        <v>0</v>
      </c>
      <c r="J152" s="504">
        <f t="shared" si="29"/>
        <v>0</v>
      </c>
      <c r="K152" s="504"/>
      <c r="L152" s="512"/>
      <c r="M152" s="504">
        <f t="shared" si="30"/>
        <v>0</v>
      </c>
      <c r="N152" s="512"/>
      <c r="O152" s="504">
        <f t="shared" si="31"/>
        <v>0</v>
      </c>
      <c r="P152" s="504">
        <f t="shared" si="32"/>
        <v>0</v>
      </c>
      <c r="Q152" s="243"/>
      <c r="R152" s="243"/>
      <c r="S152" s="243"/>
      <c r="T152" s="243"/>
      <c r="U152" s="243"/>
    </row>
    <row r="153" spans="2:21">
      <c r="B153" s="145" t="str">
        <f t="shared" si="17"/>
        <v/>
      </c>
      <c r="C153" s="495">
        <f>IF(D94="","-",+C152+1)</f>
        <v>2068</v>
      </c>
      <c r="D153" s="349">
        <f>IF(F152+SUM(E$100:E152)=D$93,F152,D$93-SUM(E$100:E152))</f>
        <v>0</v>
      </c>
      <c r="E153" s="509">
        <f>IF(+J97&lt;F152,J97,D153)</f>
        <v>0</v>
      </c>
      <c r="F153" s="510">
        <f t="shared" si="24"/>
        <v>0</v>
      </c>
      <c r="G153" s="510">
        <f t="shared" si="25"/>
        <v>0</v>
      </c>
      <c r="H153" s="523">
        <f t="shared" si="26"/>
        <v>0</v>
      </c>
      <c r="I153" s="572">
        <f t="shared" si="27"/>
        <v>0</v>
      </c>
      <c r="J153" s="504">
        <f t="shared" si="29"/>
        <v>0</v>
      </c>
      <c r="K153" s="504"/>
      <c r="L153" s="512"/>
      <c r="M153" s="504">
        <f t="shared" si="30"/>
        <v>0</v>
      </c>
      <c r="N153" s="512"/>
      <c r="O153" s="504">
        <f t="shared" si="31"/>
        <v>0</v>
      </c>
      <c r="P153" s="504">
        <f t="shared" si="32"/>
        <v>0</v>
      </c>
      <c r="Q153" s="243"/>
      <c r="R153" s="243"/>
      <c r="S153" s="243"/>
      <c r="T153" s="243"/>
      <c r="U153" s="243"/>
    </row>
    <row r="154" spans="2:21">
      <c r="B154" s="145" t="str">
        <f t="shared" si="17"/>
        <v/>
      </c>
      <c r="C154" s="495">
        <f>IF(D94="","-",+C153+1)</f>
        <v>2069</v>
      </c>
      <c r="D154" s="349">
        <f>IF(F153+SUM(E$100:E153)=D$93,F153,D$93-SUM(E$100:E153))</f>
        <v>0</v>
      </c>
      <c r="E154" s="509">
        <f>IF(+J97&lt;F153,J97,D154)</f>
        <v>0</v>
      </c>
      <c r="F154" s="510">
        <f t="shared" si="24"/>
        <v>0</v>
      </c>
      <c r="G154" s="510">
        <f t="shared" si="25"/>
        <v>0</v>
      </c>
      <c r="H154" s="523">
        <f t="shared" si="26"/>
        <v>0</v>
      </c>
      <c r="I154" s="572">
        <f t="shared" si="27"/>
        <v>0</v>
      </c>
      <c r="J154" s="504">
        <f t="shared" si="29"/>
        <v>0</v>
      </c>
      <c r="K154" s="504"/>
      <c r="L154" s="512"/>
      <c r="M154" s="504">
        <f t="shared" si="30"/>
        <v>0</v>
      </c>
      <c r="N154" s="512"/>
      <c r="O154" s="504">
        <f t="shared" si="31"/>
        <v>0</v>
      </c>
      <c r="P154" s="504">
        <f t="shared" si="32"/>
        <v>0</v>
      </c>
      <c r="Q154" s="243"/>
      <c r="R154" s="243"/>
      <c r="S154" s="243"/>
      <c r="T154" s="243"/>
      <c r="U154" s="243"/>
    </row>
    <row r="155" spans="2:21" ht="13.5" thickBot="1">
      <c r="B155" s="145" t="str">
        <f t="shared" si="17"/>
        <v/>
      </c>
      <c r="C155" s="524">
        <f>IF(D94="","-",+C154+1)</f>
        <v>2070</v>
      </c>
      <c r="D155" s="349">
        <f>IF(F154+SUM(E$100:E154)=D$93,F154,D$93-SUM(E$100:E154))</f>
        <v>0</v>
      </c>
      <c r="E155" s="526">
        <f>IF(+J97&lt;F154,J97,D155)</f>
        <v>0</v>
      </c>
      <c r="F155" s="527">
        <f t="shared" si="24"/>
        <v>0</v>
      </c>
      <c r="G155" s="527">
        <f t="shared" si="25"/>
        <v>0</v>
      </c>
      <c r="H155" s="623">
        <f t="shared" si="26"/>
        <v>0</v>
      </c>
      <c r="I155" s="624">
        <f t="shared" si="27"/>
        <v>0</v>
      </c>
      <c r="J155" s="531">
        <f t="shared" si="29"/>
        <v>0</v>
      </c>
      <c r="K155" s="504"/>
      <c r="L155" s="530"/>
      <c r="M155" s="531">
        <f t="shared" si="30"/>
        <v>0</v>
      </c>
      <c r="N155" s="530"/>
      <c r="O155" s="531">
        <f t="shared" si="31"/>
        <v>0</v>
      </c>
      <c r="P155" s="531">
        <f t="shared" si="32"/>
        <v>0</v>
      </c>
      <c r="Q155" s="243"/>
      <c r="R155" s="243"/>
      <c r="S155" s="243"/>
      <c r="T155" s="243"/>
      <c r="U155" s="243"/>
    </row>
    <row r="156" spans="2:21">
      <c r="C156" s="349" t="s">
        <v>75</v>
      </c>
      <c r="D156" s="294"/>
      <c r="E156" s="294">
        <f>SUM(E100:E155)</f>
        <v>8535104.0000000037</v>
      </c>
      <c r="F156" s="294"/>
      <c r="G156" s="294"/>
      <c r="H156" s="294">
        <f>SUM(H100:H155)</f>
        <v>20770653.59906489</v>
      </c>
      <c r="I156" s="294">
        <f>SUM(I100:I155)</f>
        <v>20770653.59906489</v>
      </c>
      <c r="J156" s="294">
        <f>SUM(J100:J155)</f>
        <v>0</v>
      </c>
      <c r="K156" s="294"/>
      <c r="L156" s="294"/>
      <c r="M156" s="294"/>
      <c r="N156" s="294"/>
      <c r="O156" s="294"/>
      <c r="P156" s="243"/>
      <c r="Q156" s="243"/>
      <c r="R156" s="243"/>
      <c r="S156" s="243"/>
      <c r="T156" s="243"/>
      <c r="U156" s="243"/>
    </row>
    <row r="157" spans="2:21">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c r="C158" s="574"/>
      <c r="D158" s="292"/>
      <c r="E158" s="243"/>
      <c r="F158" s="243"/>
      <c r="G158" s="243"/>
      <c r="H158" s="243"/>
      <c r="I158" s="325"/>
      <c r="J158" s="325"/>
      <c r="K158" s="294"/>
      <c r="L158" s="325"/>
      <c r="M158" s="325"/>
      <c r="N158" s="325"/>
      <c r="O158" s="325"/>
      <c r="P158" s="243"/>
      <c r="Q158" s="243"/>
      <c r="R158" s="243"/>
      <c r="S158" s="243"/>
      <c r="T158" s="243"/>
      <c r="U158" s="243"/>
    </row>
    <row r="159" spans="2:21">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c r="C162" s="575"/>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43" priority="1" stopIfTrue="1" operator="equal">
      <formula>$I$10</formula>
    </cfRule>
  </conditionalFormatting>
  <conditionalFormatting sqref="C100:C155">
    <cfRule type="cellIs" dxfId="42"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39997558519241921"/>
  </sheetPr>
  <dimension ref="A1:U163"/>
  <sheetViews>
    <sheetView view="pageBreakPreview" zoomScale="78" zoomScaleNormal="100" zoomScaleSheetLayoutView="78"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10 of 23</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875617.10069768119</v>
      </c>
      <c r="P5" s="243"/>
      <c r="R5" s="243"/>
      <c r="S5" s="243"/>
      <c r="T5" s="243"/>
      <c r="U5" s="243"/>
    </row>
    <row r="6" spans="1:21" ht="15.75">
      <c r="C6" s="235"/>
      <c r="D6" s="292"/>
      <c r="E6" s="243"/>
      <c r="F6" s="243"/>
      <c r="G6" s="243"/>
      <c r="H6" s="449"/>
      <c r="I6" s="449"/>
      <c r="J6" s="450"/>
      <c r="K6" s="451" t="s">
        <v>243</v>
      </c>
      <c r="L6" s="452"/>
      <c r="M6" s="278"/>
      <c r="N6" s="453">
        <f>VLOOKUP(I10,C17:I73,6)</f>
        <v>875617.10069768119</v>
      </c>
      <c r="O6" s="243"/>
      <c r="P6" s="243"/>
      <c r="R6" s="243"/>
      <c r="S6" s="243"/>
      <c r="T6" s="243"/>
      <c r="U6" s="243"/>
    </row>
    <row r="7" spans="1:21" ht="13.5" thickBot="1">
      <c r="C7" s="454" t="s">
        <v>46</v>
      </c>
      <c r="D7" s="455" t="s">
        <v>229</v>
      </c>
      <c r="E7" s="243"/>
      <c r="F7" s="243"/>
      <c r="G7" s="243"/>
      <c r="H7" s="325"/>
      <c r="I7" s="325"/>
      <c r="J7" s="294"/>
      <c r="K7" s="456" t="s">
        <v>47</v>
      </c>
      <c r="L7" s="457"/>
      <c r="M7" s="457"/>
      <c r="N7" s="458">
        <f>+N6-N5</f>
        <v>0</v>
      </c>
      <c r="O7" s="243"/>
      <c r="P7" s="243"/>
      <c r="R7" s="243"/>
      <c r="S7" s="243"/>
      <c r="T7" s="243"/>
      <c r="U7" s="243"/>
    </row>
    <row r="8" spans="1:21" ht="13.5" thickBot="1">
      <c r="C8" s="459"/>
      <c r="D8" s="625" t="s">
        <v>230</v>
      </c>
      <c r="E8" s="461"/>
      <c r="F8" s="461"/>
      <c r="G8" s="461"/>
      <c r="H8" s="461"/>
      <c r="I8" s="461"/>
      <c r="J8" s="462"/>
      <c r="K8" s="461"/>
      <c r="L8" s="461"/>
      <c r="M8" s="461"/>
      <c r="N8" s="461"/>
      <c r="O8" s="462"/>
      <c r="P8" s="248"/>
      <c r="R8" s="243"/>
      <c r="S8" s="243"/>
      <c r="T8" s="243"/>
      <c r="U8" s="243"/>
    </row>
    <row r="9" spans="1:21" ht="13.5" thickBot="1">
      <c r="C9" s="463" t="s">
        <v>48</v>
      </c>
      <c r="D9" s="464" t="s">
        <v>218</v>
      </c>
      <c r="E9" s="647" t="s">
        <v>303</v>
      </c>
      <c r="F9" s="465"/>
      <c r="G9" s="465"/>
      <c r="H9" s="465"/>
      <c r="I9" s="466"/>
      <c r="J9" s="467"/>
      <c r="O9" s="468"/>
      <c r="P9" s="278"/>
      <c r="R9" s="243"/>
      <c r="S9" s="243"/>
      <c r="T9" s="243"/>
      <c r="U9" s="243"/>
    </row>
    <row r="10" spans="1:21">
      <c r="C10" s="469" t="s">
        <v>49</v>
      </c>
      <c r="D10" s="470">
        <v>7210309</v>
      </c>
      <c r="E10" s="299" t="s">
        <v>50</v>
      </c>
      <c r="F10" s="468"/>
      <c r="G10" s="408"/>
      <c r="H10" s="408"/>
      <c r="I10" s="471">
        <f>+OKT.WS.F.BPU.ATRR.Projected!R101</f>
        <v>2022</v>
      </c>
      <c r="J10" s="467"/>
      <c r="K10" s="294" t="s">
        <v>51</v>
      </c>
      <c r="O10" s="278"/>
      <c r="P10" s="278"/>
      <c r="R10" s="243"/>
      <c r="S10" s="243"/>
      <c r="T10" s="243"/>
      <c r="U10" s="243"/>
    </row>
    <row r="11" spans="1:21">
      <c r="C11" s="472" t="s">
        <v>52</v>
      </c>
      <c r="D11" s="473">
        <v>2013</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12</v>
      </c>
      <c r="E12" s="472" t="s">
        <v>55</v>
      </c>
      <c r="F12" s="408"/>
      <c r="G12" s="220"/>
      <c r="H12" s="220"/>
      <c r="I12" s="476">
        <f>OKT.WS.F.BPU.ATRR.Projected!$F$79</f>
        <v>0.11475877389767174</v>
      </c>
      <c r="J12" s="413"/>
      <c r="K12" s="145" t="s">
        <v>56</v>
      </c>
      <c r="O12" s="278"/>
      <c r="P12" s="278"/>
      <c r="R12" s="243"/>
      <c r="S12" s="243"/>
      <c r="T12" s="243"/>
      <c r="U12" s="243"/>
    </row>
    <row r="13" spans="1:21">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218494.21212121213</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73" si="0">IF(D17=F16,"","IU")</f>
        <v>IU</v>
      </c>
      <c r="C17" s="495">
        <f>IF(D11= "","-",D11)</f>
        <v>2013</v>
      </c>
      <c r="D17" s="496">
        <v>7200873.8200000003</v>
      </c>
      <c r="E17" s="497">
        <v>0</v>
      </c>
      <c r="F17" s="496">
        <v>7200873.8200000003</v>
      </c>
      <c r="G17" s="497">
        <v>66024.408436961749</v>
      </c>
      <c r="H17" s="499">
        <v>66024.408436961749</v>
      </c>
      <c r="I17" s="584">
        <v>0</v>
      </c>
      <c r="J17" s="500"/>
      <c r="K17" s="501">
        <f t="shared" ref="K17:K22" si="1">G17</f>
        <v>66024.408436961749</v>
      </c>
      <c r="L17" s="502">
        <f t="shared" ref="L17:L22" si="2">IF(K17&lt;&gt;0,+G17-K17,0)</f>
        <v>0</v>
      </c>
      <c r="M17" s="501">
        <f t="shared" ref="M17:M22" si="3">H17</f>
        <v>66024.408436961749</v>
      </c>
      <c r="N17" s="503">
        <f>IF(M17&lt;&gt;0,+H17-M17,0)</f>
        <v>0</v>
      </c>
      <c r="O17" s="504">
        <f>+N17-L17</f>
        <v>0</v>
      </c>
      <c r="P17" s="278"/>
      <c r="R17" s="243"/>
      <c r="S17" s="243"/>
      <c r="T17" s="243"/>
      <c r="U17" s="243"/>
    </row>
    <row r="18" spans="2:21">
      <c r="B18" s="145" t="str">
        <f t="shared" si="0"/>
        <v/>
      </c>
      <c r="C18" s="495">
        <f>IF(D11="","-",+C17+1)</f>
        <v>2014</v>
      </c>
      <c r="D18" s="505">
        <v>7200873.8200000003</v>
      </c>
      <c r="E18" s="498">
        <v>124569.42917795427</v>
      </c>
      <c r="F18" s="505">
        <v>7076304.3908220464</v>
      </c>
      <c r="G18" s="498">
        <v>903156.28905530274</v>
      </c>
      <c r="H18" s="499">
        <v>903156.28905530274</v>
      </c>
      <c r="I18" s="584">
        <v>0</v>
      </c>
      <c r="J18" s="500"/>
      <c r="K18" s="592">
        <f t="shared" si="1"/>
        <v>903156.28905530274</v>
      </c>
      <c r="L18" s="596">
        <f t="shared" si="2"/>
        <v>0</v>
      </c>
      <c r="M18" s="592">
        <f t="shared" si="3"/>
        <v>903156.28905530274</v>
      </c>
      <c r="N18" s="594">
        <f>IF(M18&lt;&gt;0,+H18-M18,0)</f>
        <v>0</v>
      </c>
      <c r="O18" s="596">
        <f>+N18-L18</f>
        <v>0</v>
      </c>
      <c r="P18" s="278"/>
      <c r="R18" s="243"/>
      <c r="S18" s="243"/>
      <c r="T18" s="243"/>
      <c r="U18" s="243"/>
    </row>
    <row r="19" spans="2:21">
      <c r="B19" s="145" t="str">
        <f t="shared" si="0"/>
        <v/>
      </c>
      <c r="C19" s="495">
        <f>IF(D11="","-",+C18+1)</f>
        <v>2015</v>
      </c>
      <c r="D19" s="614">
        <v>7076304.3908220464</v>
      </c>
      <c r="E19" s="613">
        <v>124569.42917795427</v>
      </c>
      <c r="F19" s="614">
        <v>6951734.9616440926</v>
      </c>
      <c r="G19" s="613">
        <v>841053.03893843992</v>
      </c>
      <c r="H19" s="617">
        <v>841053.03893843992</v>
      </c>
      <c r="I19" s="584">
        <v>0</v>
      </c>
      <c r="J19" s="500"/>
      <c r="K19" s="592">
        <f t="shared" si="1"/>
        <v>841053.03893843992</v>
      </c>
      <c r="L19" s="596">
        <f t="shared" si="2"/>
        <v>0</v>
      </c>
      <c r="M19" s="592">
        <f t="shared" si="3"/>
        <v>841053.03893843992</v>
      </c>
      <c r="N19" s="594">
        <f>IF(M19&lt;&gt;0,+H19-M19,0)</f>
        <v>0</v>
      </c>
      <c r="O19" s="596">
        <f>+N19-L19</f>
        <v>0</v>
      </c>
      <c r="P19" s="278"/>
      <c r="R19" s="243"/>
      <c r="S19" s="243"/>
      <c r="T19" s="243"/>
      <c r="U19" s="243"/>
    </row>
    <row r="20" spans="2:21">
      <c r="B20" s="145" t="str">
        <f t="shared" si="0"/>
        <v/>
      </c>
      <c r="C20" s="495">
        <f>IF(D11="","-",+C19+1)</f>
        <v>2016</v>
      </c>
      <c r="D20" s="614">
        <v>6951734.9616440926</v>
      </c>
      <c r="E20" s="613">
        <v>149630.22739831218</v>
      </c>
      <c r="F20" s="614">
        <v>6802104.7342457809</v>
      </c>
      <c r="G20" s="613">
        <v>883443.80340987013</v>
      </c>
      <c r="H20" s="617">
        <v>883443.80340987013</v>
      </c>
      <c r="I20" s="500">
        <f>H20-G20</f>
        <v>0</v>
      </c>
      <c r="J20" s="500"/>
      <c r="K20" s="592">
        <f t="shared" si="1"/>
        <v>883443.80340987013</v>
      </c>
      <c r="L20" s="596">
        <f t="shared" si="2"/>
        <v>0</v>
      </c>
      <c r="M20" s="592">
        <f t="shared" si="3"/>
        <v>883443.80340987013</v>
      </c>
      <c r="N20" s="504">
        <f t="shared" ref="N20:N73" si="4">IF(M20&lt;&gt;0,+H20-M20,0)</f>
        <v>0</v>
      </c>
      <c r="O20" s="504">
        <f t="shared" ref="O20:O73" si="5">+N20-L20</f>
        <v>0</v>
      </c>
      <c r="P20" s="278"/>
      <c r="R20" s="243"/>
      <c r="S20" s="243"/>
      <c r="T20" s="243"/>
      <c r="U20" s="243"/>
    </row>
    <row r="21" spans="2:21">
      <c r="B21" s="145" t="str">
        <f t="shared" si="0"/>
        <v>IU</v>
      </c>
      <c r="C21" s="495">
        <f>IF(D11="","-",+C20+1)</f>
        <v>2017</v>
      </c>
      <c r="D21" s="614">
        <v>6811539.9142457796</v>
      </c>
      <c r="E21" s="613">
        <v>141768.94979225809</v>
      </c>
      <c r="F21" s="614">
        <v>6669770.9644535212</v>
      </c>
      <c r="G21" s="613">
        <v>882836.42245279858</v>
      </c>
      <c r="H21" s="617">
        <v>882836.42245279858</v>
      </c>
      <c r="I21" s="500">
        <f t="shared" ref="I21:I73" si="6">H21-G21</f>
        <v>0</v>
      </c>
      <c r="J21" s="500"/>
      <c r="K21" s="592">
        <f t="shared" si="1"/>
        <v>882836.42245279858</v>
      </c>
      <c r="L21" s="596">
        <f t="shared" si="2"/>
        <v>0</v>
      </c>
      <c r="M21" s="592">
        <f t="shared" si="3"/>
        <v>882836.42245279858</v>
      </c>
      <c r="N21" s="504">
        <f>IF(M21&lt;&gt;0,+H21-M21,0)</f>
        <v>0</v>
      </c>
      <c r="O21" s="504">
        <f>+N21-L21</f>
        <v>0</v>
      </c>
      <c r="P21" s="278"/>
      <c r="R21" s="243"/>
      <c r="S21" s="243"/>
      <c r="T21" s="243"/>
      <c r="U21" s="243"/>
    </row>
    <row r="22" spans="2:21">
      <c r="B22" s="145" t="str">
        <f t="shared" si="0"/>
        <v/>
      </c>
      <c r="C22" s="495">
        <f>IF(D11="","-",+C21+1)</f>
        <v>2018</v>
      </c>
      <c r="D22" s="614">
        <v>6669770.9644535212</v>
      </c>
      <c r="E22" s="613">
        <v>176829.81385654397</v>
      </c>
      <c r="F22" s="614">
        <v>6492941.1505969772</v>
      </c>
      <c r="G22" s="613">
        <v>845651.23589628318</v>
      </c>
      <c r="H22" s="617">
        <v>845651.23589628318</v>
      </c>
      <c r="I22" s="500">
        <v>0</v>
      </c>
      <c r="J22" s="500"/>
      <c r="K22" s="592">
        <f t="shared" si="1"/>
        <v>845651.23589628318</v>
      </c>
      <c r="L22" s="596">
        <f t="shared" si="2"/>
        <v>0</v>
      </c>
      <c r="M22" s="592">
        <f t="shared" si="3"/>
        <v>845651.23589628318</v>
      </c>
      <c r="N22" s="504">
        <f>IF(M22&lt;&gt;0,+H22-M22,0)</f>
        <v>0</v>
      </c>
      <c r="O22" s="504">
        <f>+N22-L22</f>
        <v>0</v>
      </c>
      <c r="P22" s="278"/>
      <c r="R22" s="243"/>
      <c r="S22" s="243"/>
      <c r="T22" s="243"/>
      <c r="U22" s="243"/>
    </row>
    <row r="23" spans="2:21">
      <c r="B23" s="145" t="str">
        <f t="shared" si="0"/>
        <v/>
      </c>
      <c r="C23" s="495">
        <f>IF(D11="","-",+C22+1)</f>
        <v>2019</v>
      </c>
      <c r="D23" s="614">
        <v>6492941.1505969772</v>
      </c>
      <c r="E23" s="613">
        <v>213849.4508925222</v>
      </c>
      <c r="F23" s="614">
        <v>6279091.6997044552</v>
      </c>
      <c r="G23" s="613">
        <v>877586.22744876624</v>
      </c>
      <c r="H23" s="617">
        <v>877586.22744876624</v>
      </c>
      <c r="I23" s="500">
        <f t="shared" si="6"/>
        <v>0</v>
      </c>
      <c r="J23" s="500"/>
      <c r="K23" s="592">
        <f t="shared" ref="K23" si="7">G23</f>
        <v>877586.22744876624</v>
      </c>
      <c r="L23" s="596">
        <f t="shared" ref="L23" si="8">IF(K23&lt;&gt;0,+G23-K23,0)</f>
        <v>0</v>
      </c>
      <c r="M23" s="592">
        <f t="shared" ref="M23" si="9">H23</f>
        <v>877586.22744876624</v>
      </c>
      <c r="N23" s="504">
        <f>IF(M23&lt;&gt;0,+H23-M23,0)</f>
        <v>0</v>
      </c>
      <c r="O23" s="504">
        <f>+N23-L23</f>
        <v>0</v>
      </c>
      <c r="P23" s="278"/>
      <c r="R23" s="243"/>
      <c r="S23" s="243"/>
      <c r="T23" s="243"/>
      <c r="U23" s="243"/>
    </row>
    <row r="24" spans="2:21">
      <c r="B24" s="145" t="str">
        <f t="shared" si="0"/>
        <v>IU</v>
      </c>
      <c r="C24" s="495">
        <f>IF(D11="","-",+C23+1)</f>
        <v>2020</v>
      </c>
      <c r="D24" s="614">
        <v>6316111.3367404332</v>
      </c>
      <c r="E24" s="613">
        <v>211130.68525810694</v>
      </c>
      <c r="F24" s="614">
        <v>6104980.651482326</v>
      </c>
      <c r="G24" s="613">
        <v>862818.59359815018</v>
      </c>
      <c r="H24" s="617">
        <v>862818.59359815018</v>
      </c>
      <c r="I24" s="500">
        <f t="shared" si="6"/>
        <v>0</v>
      </c>
      <c r="J24" s="500"/>
      <c r="K24" s="592">
        <f t="shared" ref="K24" si="10">G24</f>
        <v>862818.59359815018</v>
      </c>
      <c r="L24" s="596">
        <f t="shared" ref="L24" si="11">IF(K24&lt;&gt;0,+G24-K24,0)</f>
        <v>0</v>
      </c>
      <c r="M24" s="592">
        <f t="shared" ref="M24" si="12">H24</f>
        <v>862818.59359815018</v>
      </c>
      <c r="N24" s="504">
        <f>IF(M24&lt;&gt;0,+H24-M24,0)</f>
        <v>0</v>
      </c>
      <c r="O24" s="504">
        <f t="shared" si="5"/>
        <v>0</v>
      </c>
      <c r="P24" s="278"/>
      <c r="R24" s="243"/>
      <c r="S24" s="243"/>
      <c r="T24" s="243"/>
      <c r="U24" s="243"/>
    </row>
    <row r="25" spans="2:21">
      <c r="B25" s="145" t="str">
        <f t="shared" si="0"/>
        <v>IU</v>
      </c>
      <c r="C25" s="495">
        <f>IF(D11="","-",+C24+1)</f>
        <v>2021</v>
      </c>
      <c r="D25" s="614">
        <v>6067961.014446348</v>
      </c>
      <c r="E25" s="613">
        <v>232590.61290322582</v>
      </c>
      <c r="F25" s="614">
        <v>5835370.4015431218</v>
      </c>
      <c r="G25" s="613">
        <v>876471.96738932701</v>
      </c>
      <c r="H25" s="617">
        <v>876471.96738932701</v>
      </c>
      <c r="I25" s="500">
        <f t="shared" si="6"/>
        <v>0</v>
      </c>
      <c r="J25" s="500"/>
      <c r="K25" s="592">
        <f t="shared" ref="K25" si="13">G25</f>
        <v>876471.96738932701</v>
      </c>
      <c r="L25" s="596">
        <f t="shared" ref="L25" si="14">IF(K25&lt;&gt;0,+G25-K25,0)</f>
        <v>0</v>
      </c>
      <c r="M25" s="592">
        <f t="shared" ref="M25" si="15">H25</f>
        <v>876471.96738932701</v>
      </c>
      <c r="N25" s="504">
        <f t="shared" si="4"/>
        <v>0</v>
      </c>
      <c r="O25" s="504">
        <f t="shared" si="5"/>
        <v>0</v>
      </c>
      <c r="P25" s="278"/>
      <c r="R25" s="243"/>
      <c r="S25" s="243"/>
      <c r="T25" s="243"/>
      <c r="U25" s="243"/>
    </row>
    <row r="26" spans="2:21">
      <c r="B26" s="145" t="str">
        <f t="shared" si="0"/>
        <v/>
      </c>
      <c r="C26" s="495">
        <f>IF(D11="","-",+C25+1)</f>
        <v>2022</v>
      </c>
      <c r="D26" s="508">
        <f>IF(F25+SUM(E$17:E25)=D$10,F25,D$10-SUM(E$17:E25))</f>
        <v>5835370.4015431218</v>
      </c>
      <c r="E26" s="509">
        <f t="shared" ref="E26:E73" si="16">IF(+$I$14&lt;F25,$I$14,D26)</f>
        <v>218494.21212121213</v>
      </c>
      <c r="F26" s="510">
        <f t="shared" ref="F26:F73" si="17">+D26-E26</f>
        <v>5616876.1894219099</v>
      </c>
      <c r="G26" s="511">
        <f t="shared" ref="G26:G73" si="18">(D26+F26)/2*I$12+E26</f>
        <v>875617.10069768119</v>
      </c>
      <c r="H26" s="477">
        <f t="shared" ref="H26:H73" si="19">+(D26+F26)/2*I$13+E26</f>
        <v>875617.10069768119</v>
      </c>
      <c r="I26" s="500">
        <f t="shared" si="6"/>
        <v>0</v>
      </c>
      <c r="J26" s="500"/>
      <c r="K26" s="512"/>
      <c r="L26" s="504">
        <f t="shared" ref="L26:L73" si="20">IF(K26&lt;&gt;0,+G26-K26,0)</f>
        <v>0</v>
      </c>
      <c r="M26" s="512"/>
      <c r="N26" s="504">
        <f t="shared" si="4"/>
        <v>0</v>
      </c>
      <c r="O26" s="504">
        <f t="shared" si="5"/>
        <v>0</v>
      </c>
      <c r="P26" s="278"/>
      <c r="R26" s="243"/>
      <c r="S26" s="243"/>
      <c r="T26" s="243"/>
      <c r="U26" s="243"/>
    </row>
    <row r="27" spans="2:21">
      <c r="B27" s="145" t="str">
        <f t="shared" si="0"/>
        <v/>
      </c>
      <c r="C27" s="495">
        <f>IF(D11="","-",+C26+1)</f>
        <v>2023</v>
      </c>
      <c r="D27" s="508">
        <f>IF(F26+SUM(E$17:E26)=D$10,F26,D$10-SUM(E$17:E26))</f>
        <v>5616876.1894219099</v>
      </c>
      <c r="E27" s="509">
        <f t="shared" si="16"/>
        <v>218494.21212121213</v>
      </c>
      <c r="F27" s="510">
        <f t="shared" si="17"/>
        <v>5398381.9773006979</v>
      </c>
      <c r="G27" s="511">
        <f t="shared" si="18"/>
        <v>850542.97281091299</v>
      </c>
      <c r="H27" s="477">
        <f t="shared" si="19"/>
        <v>850542.97281091299</v>
      </c>
      <c r="I27" s="500">
        <f t="shared" si="6"/>
        <v>0</v>
      </c>
      <c r="J27" s="500"/>
      <c r="K27" s="512"/>
      <c r="L27" s="504">
        <f t="shared" si="20"/>
        <v>0</v>
      </c>
      <c r="M27" s="512"/>
      <c r="N27" s="504">
        <f t="shared" si="4"/>
        <v>0</v>
      </c>
      <c r="O27" s="504">
        <f t="shared" si="5"/>
        <v>0</v>
      </c>
      <c r="P27" s="278"/>
      <c r="R27" s="243"/>
      <c r="S27" s="243"/>
      <c r="T27" s="243"/>
      <c r="U27" s="243"/>
    </row>
    <row r="28" spans="2:21">
      <c r="B28" s="145" t="str">
        <f t="shared" si="0"/>
        <v/>
      </c>
      <c r="C28" s="495">
        <f>IF(D11="","-",+C27+1)</f>
        <v>2024</v>
      </c>
      <c r="D28" s="508">
        <f>IF(F27+SUM(E$17:E27)=D$10,F27,D$10-SUM(E$17:E27))</f>
        <v>5398381.9773006979</v>
      </c>
      <c r="E28" s="509">
        <f t="shared" si="16"/>
        <v>218494.21212121213</v>
      </c>
      <c r="F28" s="510">
        <f t="shared" si="17"/>
        <v>5179887.765179486</v>
      </c>
      <c r="G28" s="511">
        <f t="shared" si="18"/>
        <v>825468.84492414503</v>
      </c>
      <c r="H28" s="477">
        <f t="shared" si="19"/>
        <v>825468.84492414503</v>
      </c>
      <c r="I28" s="500">
        <f t="shared" si="6"/>
        <v>0</v>
      </c>
      <c r="J28" s="500"/>
      <c r="K28" s="512"/>
      <c r="L28" s="504">
        <f t="shared" si="20"/>
        <v>0</v>
      </c>
      <c r="M28" s="512"/>
      <c r="N28" s="504">
        <f t="shared" si="4"/>
        <v>0</v>
      </c>
      <c r="O28" s="504">
        <f t="shared" si="5"/>
        <v>0</v>
      </c>
      <c r="P28" s="278"/>
      <c r="R28" s="243"/>
      <c r="S28" s="243"/>
      <c r="T28" s="243"/>
      <c r="U28" s="243"/>
    </row>
    <row r="29" spans="2:21">
      <c r="B29" s="145" t="str">
        <f t="shared" si="0"/>
        <v/>
      </c>
      <c r="C29" s="495">
        <f>IF(D11="","-",+C28+1)</f>
        <v>2025</v>
      </c>
      <c r="D29" s="508">
        <f>IF(F28+SUM(E$17:E28)=D$10,F28,D$10-SUM(E$17:E28))</f>
        <v>5179887.765179486</v>
      </c>
      <c r="E29" s="509">
        <f t="shared" si="16"/>
        <v>218494.21212121213</v>
      </c>
      <c r="F29" s="510">
        <f t="shared" si="17"/>
        <v>4961393.5530582741</v>
      </c>
      <c r="G29" s="511">
        <f t="shared" si="18"/>
        <v>800394.71703737683</v>
      </c>
      <c r="H29" s="477">
        <f t="shared" si="19"/>
        <v>800394.71703737683</v>
      </c>
      <c r="I29" s="500">
        <f t="shared" si="6"/>
        <v>0</v>
      </c>
      <c r="J29" s="500"/>
      <c r="K29" s="512"/>
      <c r="L29" s="504">
        <f t="shared" si="20"/>
        <v>0</v>
      </c>
      <c r="M29" s="512"/>
      <c r="N29" s="504">
        <f t="shared" si="4"/>
        <v>0</v>
      </c>
      <c r="O29" s="504">
        <f t="shared" si="5"/>
        <v>0</v>
      </c>
      <c r="P29" s="278"/>
      <c r="R29" s="243"/>
      <c r="S29" s="243"/>
      <c r="T29" s="243"/>
      <c r="U29" s="243"/>
    </row>
    <row r="30" spans="2:21">
      <c r="B30" s="145" t="str">
        <f t="shared" si="0"/>
        <v/>
      </c>
      <c r="C30" s="495">
        <f>IF(D11="","-",+C29+1)</f>
        <v>2026</v>
      </c>
      <c r="D30" s="508">
        <f>IF(F29+SUM(E$17:E29)=D$10,F29,D$10-SUM(E$17:E29))</f>
        <v>4961393.5530582741</v>
      </c>
      <c r="E30" s="509">
        <f t="shared" si="16"/>
        <v>218494.21212121213</v>
      </c>
      <c r="F30" s="510">
        <f t="shared" si="17"/>
        <v>4742899.3409370622</v>
      </c>
      <c r="G30" s="511">
        <f t="shared" si="18"/>
        <v>775320.58915060887</v>
      </c>
      <c r="H30" s="477">
        <f t="shared" si="19"/>
        <v>775320.58915060887</v>
      </c>
      <c r="I30" s="500">
        <f t="shared" si="6"/>
        <v>0</v>
      </c>
      <c r="J30" s="500"/>
      <c r="K30" s="512"/>
      <c r="L30" s="504">
        <f t="shared" si="20"/>
        <v>0</v>
      </c>
      <c r="M30" s="512"/>
      <c r="N30" s="504">
        <f t="shared" si="4"/>
        <v>0</v>
      </c>
      <c r="O30" s="504">
        <f t="shared" si="5"/>
        <v>0</v>
      </c>
      <c r="P30" s="278"/>
      <c r="R30" s="243"/>
      <c r="S30" s="243"/>
      <c r="T30" s="243"/>
      <c r="U30" s="243"/>
    </row>
    <row r="31" spans="2:21">
      <c r="B31" s="145" t="str">
        <f t="shared" si="0"/>
        <v/>
      </c>
      <c r="C31" s="495">
        <f>IF(D11="","-",+C30+1)</f>
        <v>2027</v>
      </c>
      <c r="D31" s="508">
        <f>IF(F30+SUM(E$17:E30)=D$10,F30,D$10-SUM(E$17:E30))</f>
        <v>4742899.3409370622</v>
      </c>
      <c r="E31" s="509">
        <f t="shared" si="16"/>
        <v>218494.21212121213</v>
      </c>
      <c r="F31" s="510">
        <f t="shared" si="17"/>
        <v>4524405.1288158502</v>
      </c>
      <c r="G31" s="511">
        <f t="shared" si="18"/>
        <v>750246.46126384067</v>
      </c>
      <c r="H31" s="477">
        <f t="shared" si="19"/>
        <v>750246.46126384067</v>
      </c>
      <c r="I31" s="500">
        <f t="shared" si="6"/>
        <v>0</v>
      </c>
      <c r="J31" s="500"/>
      <c r="K31" s="512"/>
      <c r="L31" s="504">
        <f t="shared" si="20"/>
        <v>0</v>
      </c>
      <c r="M31" s="512"/>
      <c r="N31" s="504">
        <f t="shared" si="4"/>
        <v>0</v>
      </c>
      <c r="O31" s="504">
        <f t="shared" si="5"/>
        <v>0</v>
      </c>
      <c r="P31" s="278"/>
      <c r="Q31" s="220"/>
      <c r="R31" s="278"/>
      <c r="S31" s="278"/>
      <c r="T31" s="278"/>
      <c r="U31" s="243"/>
    </row>
    <row r="32" spans="2:21">
      <c r="B32" s="145" t="str">
        <f t="shared" si="0"/>
        <v/>
      </c>
      <c r="C32" s="495">
        <f>IF(D12="","-",+C31+1)</f>
        <v>2028</v>
      </c>
      <c r="D32" s="508">
        <f>IF(F31+SUM(E$17:E31)=D$10,F31,D$10-SUM(E$17:E31))</f>
        <v>4524405.1288158502</v>
      </c>
      <c r="E32" s="509">
        <f>IF(+$I$14&lt;F31,$I$14,D32)</f>
        <v>218494.21212121213</v>
      </c>
      <c r="F32" s="510">
        <f>+D32-E32</f>
        <v>4305910.9166946383</v>
      </c>
      <c r="G32" s="511">
        <f t="shared" si="18"/>
        <v>725172.3333770727</v>
      </c>
      <c r="H32" s="477">
        <f t="shared" si="19"/>
        <v>725172.3333770727</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2029</v>
      </c>
      <c r="D33" s="508">
        <f>IF(F32+SUM(E$17:E32)=D$10,F32,D$10-SUM(E$17:E32))</f>
        <v>4305910.9166946383</v>
      </c>
      <c r="E33" s="509">
        <f>IF(+$I$14&lt;F32,$I$14,D33)</f>
        <v>218494.21212121213</v>
      </c>
      <c r="F33" s="510">
        <f>+D33-E33</f>
        <v>4087416.7045734264</v>
      </c>
      <c r="G33" s="511">
        <f t="shared" si="18"/>
        <v>700098.20549030451</v>
      </c>
      <c r="H33" s="477">
        <f t="shared" si="19"/>
        <v>700098.20549030451</v>
      </c>
      <c r="I33" s="500">
        <f>H33-G33</f>
        <v>0</v>
      </c>
      <c r="J33" s="500"/>
      <c r="K33" s="512"/>
      <c r="L33" s="504">
        <f>IF(K33&lt;&gt;0,+G33-K33,0)</f>
        <v>0</v>
      </c>
      <c r="M33" s="512"/>
      <c r="N33" s="504">
        <f>IF(M33&lt;&gt;0,+H33-M33,0)</f>
        <v>0</v>
      </c>
      <c r="O33" s="504">
        <f>+N33-L33</f>
        <v>0</v>
      </c>
      <c r="P33" s="278"/>
      <c r="R33" s="243"/>
      <c r="S33" s="243"/>
      <c r="T33" s="243"/>
      <c r="U33" s="243"/>
    </row>
    <row r="34" spans="2:21">
      <c r="B34" s="145" t="str">
        <f t="shared" si="0"/>
        <v/>
      </c>
      <c r="C34" s="495">
        <f>IF(D14="","-",+C33+1)</f>
        <v>2030</v>
      </c>
      <c r="D34" s="514">
        <f>IF(F33+SUM(E$17:E33)=D$10,F33,D$10-SUM(E$17:E33))</f>
        <v>4087416.7045734264</v>
      </c>
      <c r="E34" s="515">
        <f t="shared" si="16"/>
        <v>218494.21212121213</v>
      </c>
      <c r="F34" s="516">
        <f t="shared" si="17"/>
        <v>3868922.4924522145</v>
      </c>
      <c r="G34" s="511">
        <f t="shared" si="18"/>
        <v>675024.07760353643</v>
      </c>
      <c r="H34" s="477">
        <f t="shared" si="19"/>
        <v>675024.07760353643</v>
      </c>
      <c r="I34" s="519">
        <f t="shared" si="6"/>
        <v>0</v>
      </c>
      <c r="J34" s="519"/>
      <c r="K34" s="520"/>
      <c r="L34" s="521">
        <f t="shared" si="20"/>
        <v>0</v>
      </c>
      <c r="M34" s="520"/>
      <c r="N34" s="521">
        <f t="shared" si="4"/>
        <v>0</v>
      </c>
      <c r="O34" s="521">
        <f t="shared" si="5"/>
        <v>0</v>
      </c>
      <c r="P34" s="522"/>
      <c r="Q34" s="216"/>
      <c r="R34" s="522"/>
      <c r="S34" s="522"/>
      <c r="T34" s="522"/>
      <c r="U34" s="243"/>
    </row>
    <row r="35" spans="2:21">
      <c r="B35" s="145" t="str">
        <f t="shared" si="0"/>
        <v/>
      </c>
      <c r="C35" s="495">
        <f>IF(D11="","-",+C34+1)</f>
        <v>2031</v>
      </c>
      <c r="D35" s="508">
        <f>IF(F34+SUM(E$17:E34)=D$10,F34,D$10-SUM(E$17:E34))</f>
        <v>3868922.4924522145</v>
      </c>
      <c r="E35" s="509">
        <f t="shared" si="16"/>
        <v>218494.21212121213</v>
      </c>
      <c r="F35" s="510">
        <f t="shared" si="17"/>
        <v>3650428.2803310025</v>
      </c>
      <c r="G35" s="511">
        <f t="shared" si="18"/>
        <v>649949.94971676834</v>
      </c>
      <c r="H35" s="477">
        <f t="shared" si="19"/>
        <v>649949.94971676834</v>
      </c>
      <c r="I35" s="500">
        <f t="shared" si="6"/>
        <v>0</v>
      </c>
      <c r="J35" s="500"/>
      <c r="K35" s="512"/>
      <c r="L35" s="504">
        <f t="shared" si="20"/>
        <v>0</v>
      </c>
      <c r="M35" s="512"/>
      <c r="N35" s="504">
        <f t="shared" si="4"/>
        <v>0</v>
      </c>
      <c r="O35" s="504">
        <f t="shared" si="5"/>
        <v>0</v>
      </c>
      <c r="P35" s="278"/>
      <c r="R35" s="243"/>
      <c r="S35" s="243"/>
      <c r="T35" s="243"/>
      <c r="U35" s="243"/>
    </row>
    <row r="36" spans="2:21">
      <c r="B36" s="145" t="str">
        <f t="shared" si="0"/>
        <v/>
      </c>
      <c r="C36" s="495">
        <f>IF(D11="","-",+C35+1)</f>
        <v>2032</v>
      </c>
      <c r="D36" s="508">
        <f>IF(F35+SUM(E$17:E35)=D$10,F35,D$10-SUM(E$17:E35))</f>
        <v>3650428.2803310025</v>
      </c>
      <c r="E36" s="509">
        <f t="shared" si="16"/>
        <v>218494.21212121213</v>
      </c>
      <c r="F36" s="510">
        <f t="shared" si="17"/>
        <v>3431934.0682097906</v>
      </c>
      <c r="G36" s="511">
        <f t="shared" si="18"/>
        <v>624875.82183000026</v>
      </c>
      <c r="H36" s="477">
        <f t="shared" si="19"/>
        <v>624875.82183000026</v>
      </c>
      <c r="I36" s="500">
        <f t="shared" si="6"/>
        <v>0</v>
      </c>
      <c r="J36" s="500"/>
      <c r="K36" s="512"/>
      <c r="L36" s="504">
        <f t="shared" si="20"/>
        <v>0</v>
      </c>
      <c r="M36" s="512"/>
      <c r="N36" s="504">
        <f t="shared" si="4"/>
        <v>0</v>
      </c>
      <c r="O36" s="504">
        <f t="shared" si="5"/>
        <v>0</v>
      </c>
      <c r="P36" s="278"/>
      <c r="R36" s="243"/>
      <c r="S36" s="243"/>
      <c r="T36" s="243"/>
      <c r="U36" s="243"/>
    </row>
    <row r="37" spans="2:21">
      <c r="B37" s="145" t="str">
        <f t="shared" si="0"/>
        <v/>
      </c>
      <c r="C37" s="495">
        <f>IF(D11="","-",+C36+1)</f>
        <v>2033</v>
      </c>
      <c r="D37" s="508">
        <f>IF(F36+SUM(E$17:E36)=D$10,F36,D$10-SUM(E$17:E36))</f>
        <v>3431934.0682097906</v>
      </c>
      <c r="E37" s="509">
        <f t="shared" si="16"/>
        <v>218494.21212121213</v>
      </c>
      <c r="F37" s="510">
        <f t="shared" si="17"/>
        <v>3213439.8560885787</v>
      </c>
      <c r="G37" s="511">
        <f t="shared" si="18"/>
        <v>599801.69394323218</v>
      </c>
      <c r="H37" s="477">
        <f t="shared" si="19"/>
        <v>599801.69394323218</v>
      </c>
      <c r="I37" s="500">
        <f t="shared" si="6"/>
        <v>0</v>
      </c>
      <c r="J37" s="500"/>
      <c r="K37" s="512"/>
      <c r="L37" s="504">
        <f t="shared" si="20"/>
        <v>0</v>
      </c>
      <c r="M37" s="512"/>
      <c r="N37" s="504">
        <f t="shared" si="4"/>
        <v>0</v>
      </c>
      <c r="O37" s="504">
        <f t="shared" si="5"/>
        <v>0</v>
      </c>
      <c r="P37" s="278"/>
      <c r="R37" s="243"/>
      <c r="S37" s="243"/>
      <c r="T37" s="243"/>
      <c r="U37" s="243"/>
    </row>
    <row r="38" spans="2:21">
      <c r="B38" s="145" t="str">
        <f t="shared" si="0"/>
        <v/>
      </c>
      <c r="C38" s="495">
        <f>IF(D11="","-",+C37+1)</f>
        <v>2034</v>
      </c>
      <c r="D38" s="508">
        <f>IF(F37+SUM(E$17:E37)=D$10,F37,D$10-SUM(E$17:E37))</f>
        <v>3213439.8560885787</v>
      </c>
      <c r="E38" s="509">
        <f t="shared" si="16"/>
        <v>218494.21212121213</v>
      </c>
      <c r="F38" s="510">
        <f t="shared" si="17"/>
        <v>2994945.6439673668</v>
      </c>
      <c r="G38" s="511">
        <f t="shared" si="18"/>
        <v>574727.5660564641</v>
      </c>
      <c r="H38" s="477">
        <f t="shared" si="19"/>
        <v>574727.5660564641</v>
      </c>
      <c r="I38" s="500">
        <f t="shared" si="6"/>
        <v>0</v>
      </c>
      <c r="J38" s="500"/>
      <c r="K38" s="512"/>
      <c r="L38" s="504">
        <f t="shared" si="20"/>
        <v>0</v>
      </c>
      <c r="M38" s="512"/>
      <c r="N38" s="504">
        <f t="shared" si="4"/>
        <v>0</v>
      </c>
      <c r="O38" s="504">
        <f t="shared" si="5"/>
        <v>0</v>
      </c>
      <c r="P38" s="278"/>
      <c r="R38" s="243"/>
      <c r="S38" s="243"/>
      <c r="T38" s="243"/>
      <c r="U38" s="243"/>
    </row>
    <row r="39" spans="2:21">
      <c r="B39" s="145" t="str">
        <f t="shared" si="0"/>
        <v/>
      </c>
      <c r="C39" s="495">
        <f>IF(D11="","-",+C38+1)</f>
        <v>2035</v>
      </c>
      <c r="D39" s="508">
        <f>IF(F38+SUM(E$17:E38)=D$10,F38,D$10-SUM(E$17:E38))</f>
        <v>2994945.6439673668</v>
      </c>
      <c r="E39" s="509">
        <f t="shared" si="16"/>
        <v>218494.21212121213</v>
      </c>
      <c r="F39" s="510">
        <f t="shared" si="17"/>
        <v>2776451.4318461549</v>
      </c>
      <c r="G39" s="511">
        <f t="shared" si="18"/>
        <v>549653.43816969602</v>
      </c>
      <c r="H39" s="477">
        <f t="shared" si="19"/>
        <v>549653.43816969602</v>
      </c>
      <c r="I39" s="500">
        <f t="shared" si="6"/>
        <v>0</v>
      </c>
      <c r="J39" s="500"/>
      <c r="K39" s="512"/>
      <c r="L39" s="504">
        <f t="shared" si="20"/>
        <v>0</v>
      </c>
      <c r="M39" s="512"/>
      <c r="N39" s="504">
        <f t="shared" si="4"/>
        <v>0</v>
      </c>
      <c r="O39" s="504">
        <f t="shared" si="5"/>
        <v>0</v>
      </c>
      <c r="P39" s="278"/>
      <c r="R39" s="243"/>
      <c r="S39" s="243"/>
      <c r="T39" s="243"/>
      <c r="U39" s="243"/>
    </row>
    <row r="40" spans="2:21">
      <c r="B40" s="145" t="str">
        <f t="shared" si="0"/>
        <v/>
      </c>
      <c r="C40" s="495">
        <f>IF(D11="","-",+C39+1)</f>
        <v>2036</v>
      </c>
      <c r="D40" s="508">
        <f>IF(F39+SUM(E$17:E39)=D$10,F39,D$10-SUM(E$17:E39))</f>
        <v>2776451.4318461549</v>
      </c>
      <c r="E40" s="509">
        <f t="shared" si="16"/>
        <v>218494.21212121213</v>
      </c>
      <c r="F40" s="510">
        <f t="shared" si="17"/>
        <v>2557957.2197249429</v>
      </c>
      <c r="G40" s="511">
        <f t="shared" si="18"/>
        <v>524579.31028292794</v>
      </c>
      <c r="H40" s="477">
        <f t="shared" si="19"/>
        <v>524579.31028292794</v>
      </c>
      <c r="I40" s="500">
        <f t="shared" si="6"/>
        <v>0</v>
      </c>
      <c r="J40" s="500"/>
      <c r="K40" s="512"/>
      <c r="L40" s="504">
        <f t="shared" si="20"/>
        <v>0</v>
      </c>
      <c r="M40" s="512"/>
      <c r="N40" s="504">
        <f t="shared" si="4"/>
        <v>0</v>
      </c>
      <c r="O40" s="504">
        <f t="shared" si="5"/>
        <v>0</v>
      </c>
      <c r="P40" s="278"/>
      <c r="R40" s="243"/>
      <c r="S40" s="243"/>
      <c r="T40" s="243"/>
      <c r="U40" s="243"/>
    </row>
    <row r="41" spans="2:21">
      <c r="B41" s="145" t="str">
        <f t="shared" si="0"/>
        <v/>
      </c>
      <c r="C41" s="495">
        <f>IF(D12="","-",+C40+1)</f>
        <v>2037</v>
      </c>
      <c r="D41" s="508">
        <f>IF(F40+SUM(E$17:E40)=D$10,F40,D$10-SUM(E$17:E40))</f>
        <v>2557957.2197249429</v>
      </c>
      <c r="E41" s="509">
        <f t="shared" si="16"/>
        <v>218494.21212121213</v>
      </c>
      <c r="F41" s="510">
        <f t="shared" si="17"/>
        <v>2339463.007603731</v>
      </c>
      <c r="G41" s="511">
        <f t="shared" si="18"/>
        <v>499505.18239615986</v>
      </c>
      <c r="H41" s="477">
        <f t="shared" si="19"/>
        <v>499505.18239615986</v>
      </c>
      <c r="I41" s="500">
        <f t="shared" si="6"/>
        <v>0</v>
      </c>
      <c r="J41" s="500"/>
      <c r="K41" s="512"/>
      <c r="L41" s="504">
        <f t="shared" si="20"/>
        <v>0</v>
      </c>
      <c r="M41" s="512"/>
      <c r="N41" s="504">
        <f t="shared" si="4"/>
        <v>0</v>
      </c>
      <c r="O41" s="504">
        <f t="shared" si="5"/>
        <v>0</v>
      </c>
      <c r="P41" s="278"/>
      <c r="R41" s="243"/>
      <c r="S41" s="243"/>
      <c r="T41" s="243"/>
      <c r="U41" s="243"/>
    </row>
    <row r="42" spans="2:21">
      <c r="B42" s="145" t="str">
        <f t="shared" si="0"/>
        <v/>
      </c>
      <c r="C42" s="495">
        <f>IF(D13="","-",+C41+1)</f>
        <v>2038</v>
      </c>
      <c r="D42" s="508">
        <f>IF(F41+SUM(E$17:E41)=D$10,F41,D$10-SUM(E$17:E41))</f>
        <v>2339463.007603731</v>
      </c>
      <c r="E42" s="509">
        <f t="shared" si="16"/>
        <v>218494.21212121213</v>
      </c>
      <c r="F42" s="510">
        <f t="shared" si="17"/>
        <v>2120968.7954825191</v>
      </c>
      <c r="G42" s="511">
        <f t="shared" si="18"/>
        <v>474431.05450939178</v>
      </c>
      <c r="H42" s="477">
        <f t="shared" si="19"/>
        <v>474431.05450939178</v>
      </c>
      <c r="I42" s="500">
        <f t="shared" si="6"/>
        <v>0</v>
      </c>
      <c r="J42" s="500"/>
      <c r="K42" s="512"/>
      <c r="L42" s="504">
        <f t="shared" si="20"/>
        <v>0</v>
      </c>
      <c r="M42" s="512"/>
      <c r="N42" s="504">
        <f t="shared" si="4"/>
        <v>0</v>
      </c>
      <c r="O42" s="504">
        <f t="shared" si="5"/>
        <v>0</v>
      </c>
      <c r="P42" s="278"/>
      <c r="R42" s="243"/>
      <c r="S42" s="243"/>
      <c r="T42" s="243"/>
      <c r="U42" s="243"/>
    </row>
    <row r="43" spans="2:21">
      <c r="B43" s="145" t="str">
        <f t="shared" si="0"/>
        <v/>
      </c>
      <c r="C43" s="495">
        <f>IF(D11="","-",+C42+1)</f>
        <v>2039</v>
      </c>
      <c r="D43" s="508">
        <f>IF(F42+SUM(E$17:E42)=D$10,F42,D$10-SUM(E$17:E42))</f>
        <v>2120968.7954825191</v>
      </c>
      <c r="E43" s="509">
        <f t="shared" si="16"/>
        <v>218494.21212121213</v>
      </c>
      <c r="F43" s="510">
        <f t="shared" si="17"/>
        <v>1902474.5833613069</v>
      </c>
      <c r="G43" s="511">
        <f t="shared" si="18"/>
        <v>449356.92662262369</v>
      </c>
      <c r="H43" s="477">
        <f t="shared" si="19"/>
        <v>449356.92662262369</v>
      </c>
      <c r="I43" s="500">
        <f t="shared" si="6"/>
        <v>0</v>
      </c>
      <c r="J43" s="500"/>
      <c r="K43" s="512"/>
      <c r="L43" s="504">
        <f t="shared" si="20"/>
        <v>0</v>
      </c>
      <c r="M43" s="512"/>
      <c r="N43" s="504">
        <f t="shared" si="4"/>
        <v>0</v>
      </c>
      <c r="O43" s="504">
        <f t="shared" si="5"/>
        <v>0</v>
      </c>
      <c r="P43" s="278"/>
      <c r="R43" s="243"/>
      <c r="S43" s="243"/>
      <c r="T43" s="243"/>
      <c r="U43" s="243"/>
    </row>
    <row r="44" spans="2:21">
      <c r="B44" s="145" t="str">
        <f t="shared" si="0"/>
        <v/>
      </c>
      <c r="C44" s="495">
        <f>IF(D11="","-",+C43+1)</f>
        <v>2040</v>
      </c>
      <c r="D44" s="508">
        <f>IF(F43+SUM(E$17:E43)=D$10,F43,D$10-SUM(E$17:E43))</f>
        <v>1902474.5833613069</v>
      </c>
      <c r="E44" s="509">
        <f t="shared" si="16"/>
        <v>218494.21212121213</v>
      </c>
      <c r="F44" s="510">
        <f t="shared" si="17"/>
        <v>1683980.3712400948</v>
      </c>
      <c r="G44" s="511">
        <f t="shared" si="18"/>
        <v>424282.7987358555</v>
      </c>
      <c r="H44" s="477">
        <f t="shared" si="19"/>
        <v>424282.7987358555</v>
      </c>
      <c r="I44" s="500">
        <f t="shared" si="6"/>
        <v>0</v>
      </c>
      <c r="J44" s="500"/>
      <c r="K44" s="512"/>
      <c r="L44" s="504">
        <f t="shared" si="20"/>
        <v>0</v>
      </c>
      <c r="M44" s="512"/>
      <c r="N44" s="504">
        <f t="shared" si="4"/>
        <v>0</v>
      </c>
      <c r="O44" s="504">
        <f t="shared" si="5"/>
        <v>0</v>
      </c>
      <c r="P44" s="278"/>
      <c r="R44" s="243"/>
      <c r="S44" s="243"/>
      <c r="T44" s="243"/>
      <c r="U44" s="243"/>
    </row>
    <row r="45" spans="2:21">
      <c r="B45" s="145" t="str">
        <f t="shared" si="0"/>
        <v/>
      </c>
      <c r="C45" s="495">
        <f>IF(D11="","-",+C44+1)</f>
        <v>2041</v>
      </c>
      <c r="D45" s="508">
        <f>IF(F44+SUM(E$17:E44)=D$10,F44,D$10-SUM(E$17:E44))</f>
        <v>1683980.3712400948</v>
      </c>
      <c r="E45" s="509">
        <f t="shared" si="16"/>
        <v>218494.21212121213</v>
      </c>
      <c r="F45" s="510">
        <f t="shared" si="17"/>
        <v>1465486.1591188826</v>
      </c>
      <c r="G45" s="511">
        <f t="shared" si="18"/>
        <v>399208.67084908742</v>
      </c>
      <c r="H45" s="477">
        <f t="shared" si="19"/>
        <v>399208.67084908742</v>
      </c>
      <c r="I45" s="500">
        <f t="shared" si="6"/>
        <v>0</v>
      </c>
      <c r="J45" s="500"/>
      <c r="K45" s="512"/>
      <c r="L45" s="504">
        <f t="shared" si="20"/>
        <v>0</v>
      </c>
      <c r="M45" s="512"/>
      <c r="N45" s="504">
        <f t="shared" si="4"/>
        <v>0</v>
      </c>
      <c r="O45" s="504">
        <f t="shared" si="5"/>
        <v>0</v>
      </c>
      <c r="P45" s="278"/>
      <c r="R45" s="243"/>
      <c r="S45" s="243"/>
      <c r="T45" s="243"/>
      <c r="U45" s="243"/>
    </row>
    <row r="46" spans="2:21">
      <c r="B46" s="145" t="str">
        <f t="shared" si="0"/>
        <v/>
      </c>
      <c r="C46" s="495">
        <f>IF(D11="","-",+C45+1)</f>
        <v>2042</v>
      </c>
      <c r="D46" s="508">
        <f>IF(F45+SUM(E$17:E45)=D$10,F45,D$10-SUM(E$17:E45))</f>
        <v>1465486.1591188826</v>
      </c>
      <c r="E46" s="509">
        <f t="shared" si="16"/>
        <v>218494.21212121213</v>
      </c>
      <c r="F46" s="510">
        <f t="shared" si="17"/>
        <v>1246991.9469976705</v>
      </c>
      <c r="G46" s="511">
        <f t="shared" si="18"/>
        <v>374134.54296231933</v>
      </c>
      <c r="H46" s="477">
        <f t="shared" si="19"/>
        <v>374134.54296231933</v>
      </c>
      <c r="I46" s="500">
        <f t="shared" si="6"/>
        <v>0</v>
      </c>
      <c r="J46" s="500"/>
      <c r="K46" s="512"/>
      <c r="L46" s="504">
        <f t="shared" si="20"/>
        <v>0</v>
      </c>
      <c r="M46" s="512"/>
      <c r="N46" s="504">
        <f t="shared" si="4"/>
        <v>0</v>
      </c>
      <c r="O46" s="504">
        <f t="shared" si="5"/>
        <v>0</v>
      </c>
      <c r="P46" s="278"/>
      <c r="R46" s="243"/>
      <c r="S46" s="243"/>
      <c r="T46" s="243"/>
      <c r="U46" s="243"/>
    </row>
    <row r="47" spans="2:21">
      <c r="B47" s="145" t="str">
        <f t="shared" si="0"/>
        <v/>
      </c>
      <c r="C47" s="495">
        <f>IF(D11="","-",+C46+1)</f>
        <v>2043</v>
      </c>
      <c r="D47" s="508">
        <f>IF(F46+SUM(E$17:E46)=D$10,F46,D$10-SUM(E$17:E46))</f>
        <v>1246991.9469976705</v>
      </c>
      <c r="E47" s="509">
        <f t="shared" si="16"/>
        <v>218494.21212121213</v>
      </c>
      <c r="F47" s="510">
        <f t="shared" si="17"/>
        <v>1028497.7348764583</v>
      </c>
      <c r="G47" s="511">
        <f t="shared" si="18"/>
        <v>349060.41507555119</v>
      </c>
      <c r="H47" s="477">
        <f t="shared" si="19"/>
        <v>349060.41507555119</v>
      </c>
      <c r="I47" s="500">
        <f t="shared" si="6"/>
        <v>0</v>
      </c>
      <c r="J47" s="500"/>
      <c r="K47" s="512"/>
      <c r="L47" s="504">
        <f t="shared" si="20"/>
        <v>0</v>
      </c>
      <c r="M47" s="512"/>
      <c r="N47" s="504">
        <f t="shared" si="4"/>
        <v>0</v>
      </c>
      <c r="O47" s="504">
        <f t="shared" si="5"/>
        <v>0</v>
      </c>
      <c r="P47" s="278"/>
      <c r="R47" s="243"/>
      <c r="S47" s="243"/>
      <c r="T47" s="243"/>
      <c r="U47" s="243"/>
    </row>
    <row r="48" spans="2:21">
      <c r="B48" s="145" t="str">
        <f t="shared" si="0"/>
        <v/>
      </c>
      <c r="C48" s="495">
        <f>IF(D11="","-",+C47+1)</f>
        <v>2044</v>
      </c>
      <c r="D48" s="508">
        <f>IF(F47+SUM(E$17:E47)=D$10,F47,D$10-SUM(E$17:E47))</f>
        <v>1028497.7348764583</v>
      </c>
      <c r="E48" s="509">
        <f t="shared" si="16"/>
        <v>218494.21212121213</v>
      </c>
      <c r="F48" s="510">
        <f t="shared" si="17"/>
        <v>810003.52275524614</v>
      </c>
      <c r="G48" s="511">
        <f t="shared" si="18"/>
        <v>323986.28718878306</v>
      </c>
      <c r="H48" s="477">
        <f t="shared" si="19"/>
        <v>323986.28718878306</v>
      </c>
      <c r="I48" s="500">
        <f t="shared" si="6"/>
        <v>0</v>
      </c>
      <c r="J48" s="500"/>
      <c r="K48" s="512"/>
      <c r="L48" s="504">
        <f t="shared" si="20"/>
        <v>0</v>
      </c>
      <c r="M48" s="512"/>
      <c r="N48" s="504">
        <f t="shared" si="4"/>
        <v>0</v>
      </c>
      <c r="O48" s="504">
        <f t="shared" si="5"/>
        <v>0</v>
      </c>
      <c r="P48" s="278"/>
      <c r="R48" s="243"/>
      <c r="S48" s="243"/>
      <c r="T48" s="243"/>
      <c r="U48" s="243"/>
    </row>
    <row r="49" spans="2:21">
      <c r="B49" s="145" t="str">
        <f t="shared" si="0"/>
        <v/>
      </c>
      <c r="C49" s="495">
        <f>IF(D11="","-",+C48+1)</f>
        <v>2045</v>
      </c>
      <c r="D49" s="508">
        <f>IF(F48+SUM(E$17:E48)=D$10,F48,D$10-SUM(E$17:E48))</f>
        <v>810003.52275524614</v>
      </c>
      <c r="E49" s="509">
        <f t="shared" si="16"/>
        <v>218494.21212121213</v>
      </c>
      <c r="F49" s="510">
        <f t="shared" si="17"/>
        <v>591509.31063403399</v>
      </c>
      <c r="G49" s="511">
        <f t="shared" si="18"/>
        <v>298912.15930201497</v>
      </c>
      <c r="H49" s="477">
        <f t="shared" si="19"/>
        <v>298912.15930201497</v>
      </c>
      <c r="I49" s="500">
        <f t="shared" si="6"/>
        <v>0</v>
      </c>
      <c r="J49" s="500"/>
      <c r="K49" s="512"/>
      <c r="L49" s="504">
        <f t="shared" si="20"/>
        <v>0</v>
      </c>
      <c r="M49" s="512"/>
      <c r="N49" s="504">
        <f t="shared" si="4"/>
        <v>0</v>
      </c>
      <c r="O49" s="504">
        <f t="shared" si="5"/>
        <v>0</v>
      </c>
      <c r="P49" s="278"/>
      <c r="R49" s="243"/>
      <c r="S49" s="243"/>
      <c r="T49" s="243"/>
      <c r="U49" s="243"/>
    </row>
    <row r="50" spans="2:21">
      <c r="B50" s="145" t="str">
        <f t="shared" si="0"/>
        <v/>
      </c>
      <c r="C50" s="495">
        <f>IF(D11="","-",+C49+1)</f>
        <v>2046</v>
      </c>
      <c r="D50" s="508">
        <f>IF(F49+SUM(E$17:E49)=D$10,F49,D$10-SUM(E$17:E49))</f>
        <v>591509.31063403399</v>
      </c>
      <c r="E50" s="509">
        <f t="shared" si="16"/>
        <v>218494.21212121213</v>
      </c>
      <c r="F50" s="510">
        <f t="shared" si="17"/>
        <v>373015.09851282183</v>
      </c>
      <c r="G50" s="511">
        <f t="shared" si="18"/>
        <v>273838.03141524683</v>
      </c>
      <c r="H50" s="477">
        <f t="shared" si="19"/>
        <v>273838.03141524683</v>
      </c>
      <c r="I50" s="500">
        <f t="shared" si="6"/>
        <v>0</v>
      </c>
      <c r="J50" s="500"/>
      <c r="K50" s="512"/>
      <c r="L50" s="504">
        <f t="shared" si="20"/>
        <v>0</v>
      </c>
      <c r="M50" s="512"/>
      <c r="N50" s="504">
        <f t="shared" si="4"/>
        <v>0</v>
      </c>
      <c r="O50" s="504">
        <f t="shared" si="5"/>
        <v>0</v>
      </c>
      <c r="P50" s="278"/>
      <c r="R50" s="243"/>
      <c r="S50" s="243"/>
      <c r="T50" s="243"/>
      <c r="U50" s="243"/>
    </row>
    <row r="51" spans="2:21">
      <c r="B51" s="145" t="str">
        <f t="shared" si="0"/>
        <v/>
      </c>
      <c r="C51" s="495">
        <f>IF(D11="","-",+C50+1)</f>
        <v>2047</v>
      </c>
      <c r="D51" s="508">
        <f>IF(F50+SUM(E$17:E50)=D$10,F50,D$10-SUM(E$17:E50))</f>
        <v>373015.09851282183</v>
      </c>
      <c r="E51" s="509">
        <f t="shared" si="16"/>
        <v>218494.21212121213</v>
      </c>
      <c r="F51" s="510">
        <f t="shared" si="17"/>
        <v>154520.8863916097</v>
      </c>
      <c r="G51" s="511">
        <f t="shared" si="18"/>
        <v>248763.90352847875</v>
      </c>
      <c r="H51" s="477">
        <f t="shared" si="19"/>
        <v>248763.90352847875</v>
      </c>
      <c r="I51" s="500">
        <f t="shared" si="6"/>
        <v>0</v>
      </c>
      <c r="J51" s="500"/>
      <c r="K51" s="512"/>
      <c r="L51" s="504">
        <f t="shared" si="20"/>
        <v>0</v>
      </c>
      <c r="M51" s="512"/>
      <c r="N51" s="504">
        <f t="shared" si="4"/>
        <v>0</v>
      </c>
      <c r="O51" s="504">
        <f t="shared" si="5"/>
        <v>0</v>
      </c>
      <c r="P51" s="278"/>
      <c r="R51" s="243"/>
      <c r="S51" s="243"/>
      <c r="T51" s="243"/>
      <c r="U51" s="243"/>
    </row>
    <row r="52" spans="2:21">
      <c r="B52" s="145" t="str">
        <f t="shared" si="0"/>
        <v/>
      </c>
      <c r="C52" s="495">
        <f>IF(D11="","-",+C51+1)</f>
        <v>2048</v>
      </c>
      <c r="D52" s="508">
        <f>IF(F51+SUM(E$17:E51)=D$10,F51,D$10-SUM(E$17:E51))</f>
        <v>154520.8863916097</v>
      </c>
      <c r="E52" s="509">
        <f t="shared" si="16"/>
        <v>154520.8863916097</v>
      </c>
      <c r="F52" s="510">
        <f t="shared" si="17"/>
        <v>0</v>
      </c>
      <c r="G52" s="511">
        <f t="shared" si="18"/>
        <v>163387.20012355098</v>
      </c>
      <c r="H52" s="477">
        <f t="shared" si="19"/>
        <v>163387.20012355098</v>
      </c>
      <c r="I52" s="500">
        <f t="shared" si="6"/>
        <v>0</v>
      </c>
      <c r="J52" s="500"/>
      <c r="K52" s="512"/>
      <c r="L52" s="504">
        <f t="shared" si="20"/>
        <v>0</v>
      </c>
      <c r="M52" s="512"/>
      <c r="N52" s="504">
        <f t="shared" si="4"/>
        <v>0</v>
      </c>
      <c r="O52" s="504">
        <f t="shared" si="5"/>
        <v>0</v>
      </c>
      <c r="P52" s="278"/>
      <c r="R52" s="243"/>
      <c r="S52" s="243"/>
      <c r="T52" s="243"/>
      <c r="U52" s="243"/>
    </row>
    <row r="53" spans="2:21">
      <c r="B53" s="145" t="str">
        <f t="shared" si="0"/>
        <v/>
      </c>
      <c r="C53" s="495">
        <f>IF(D11="","-",+C52+1)</f>
        <v>2049</v>
      </c>
      <c r="D53" s="508">
        <f>IF(F52+SUM(E$17:E52)=D$10,F52,D$10-SUM(E$17:E52))</f>
        <v>0</v>
      </c>
      <c r="E53" s="509">
        <f t="shared" si="16"/>
        <v>0</v>
      </c>
      <c r="F53" s="510">
        <f t="shared" si="17"/>
        <v>0</v>
      </c>
      <c r="G53" s="511">
        <f t="shared" si="18"/>
        <v>0</v>
      </c>
      <c r="H53" s="477">
        <f t="shared" si="19"/>
        <v>0</v>
      </c>
      <c r="I53" s="500">
        <f t="shared" si="6"/>
        <v>0</v>
      </c>
      <c r="J53" s="500"/>
      <c r="K53" s="512"/>
      <c r="L53" s="504">
        <f t="shared" si="20"/>
        <v>0</v>
      </c>
      <c r="M53" s="512"/>
      <c r="N53" s="504">
        <f t="shared" si="4"/>
        <v>0</v>
      </c>
      <c r="O53" s="504">
        <f t="shared" si="5"/>
        <v>0</v>
      </c>
      <c r="P53" s="278"/>
      <c r="R53" s="243"/>
      <c r="S53" s="243"/>
      <c r="T53" s="243"/>
      <c r="U53" s="243"/>
    </row>
    <row r="54" spans="2:21">
      <c r="B54" s="145" t="str">
        <f t="shared" si="0"/>
        <v/>
      </c>
      <c r="C54" s="495">
        <f>IF(D11="","-",+C53+1)</f>
        <v>2050</v>
      </c>
      <c r="D54" s="508">
        <f>IF(F53+SUM(E$17:E53)=D$10,F53,D$10-SUM(E$17:E53))</f>
        <v>0</v>
      </c>
      <c r="E54" s="509">
        <f t="shared" si="16"/>
        <v>0</v>
      </c>
      <c r="F54" s="510">
        <f t="shared" si="17"/>
        <v>0</v>
      </c>
      <c r="G54" s="511">
        <f t="shared" si="18"/>
        <v>0</v>
      </c>
      <c r="H54" s="477">
        <f t="shared" si="19"/>
        <v>0</v>
      </c>
      <c r="I54" s="500">
        <f t="shared" si="6"/>
        <v>0</v>
      </c>
      <c r="J54" s="500"/>
      <c r="K54" s="512"/>
      <c r="L54" s="504">
        <f t="shared" si="20"/>
        <v>0</v>
      </c>
      <c r="M54" s="512"/>
      <c r="N54" s="504">
        <f t="shared" si="4"/>
        <v>0</v>
      </c>
      <c r="O54" s="504">
        <f t="shared" si="5"/>
        <v>0</v>
      </c>
      <c r="P54" s="278"/>
      <c r="R54" s="243"/>
      <c r="S54" s="243"/>
      <c r="T54" s="243"/>
      <c r="U54" s="243"/>
    </row>
    <row r="55" spans="2:21">
      <c r="B55" s="145" t="str">
        <f t="shared" si="0"/>
        <v/>
      </c>
      <c r="C55" s="495">
        <f>IF(D11="","-",+C54+1)</f>
        <v>2051</v>
      </c>
      <c r="D55" s="508">
        <f>IF(F54+SUM(E$17:E54)=D$10,F54,D$10-SUM(E$17:E54))</f>
        <v>0</v>
      </c>
      <c r="E55" s="509">
        <f t="shared" si="16"/>
        <v>0</v>
      </c>
      <c r="F55" s="510">
        <f t="shared" si="17"/>
        <v>0</v>
      </c>
      <c r="G55" s="511">
        <f t="shared" si="18"/>
        <v>0</v>
      </c>
      <c r="H55" s="477">
        <f t="shared" si="19"/>
        <v>0</v>
      </c>
      <c r="I55" s="500">
        <f t="shared" si="6"/>
        <v>0</v>
      </c>
      <c r="J55" s="500"/>
      <c r="K55" s="512"/>
      <c r="L55" s="504">
        <f t="shared" si="20"/>
        <v>0</v>
      </c>
      <c r="M55" s="512"/>
      <c r="N55" s="504">
        <f t="shared" si="4"/>
        <v>0</v>
      </c>
      <c r="O55" s="504">
        <f t="shared" si="5"/>
        <v>0</v>
      </c>
      <c r="P55" s="278"/>
      <c r="R55" s="243"/>
      <c r="S55" s="243"/>
      <c r="T55" s="243"/>
      <c r="U55" s="243"/>
    </row>
    <row r="56" spans="2:21">
      <c r="B56" s="145" t="str">
        <f t="shared" si="0"/>
        <v/>
      </c>
      <c r="C56" s="495">
        <f>IF(D11="","-",+C55+1)</f>
        <v>2052</v>
      </c>
      <c r="D56" s="508">
        <f>IF(F55+SUM(E$17:E55)=D$10,F55,D$10-SUM(E$17:E55))</f>
        <v>0</v>
      </c>
      <c r="E56" s="509">
        <f t="shared" si="16"/>
        <v>0</v>
      </c>
      <c r="F56" s="510">
        <f t="shared" si="17"/>
        <v>0</v>
      </c>
      <c r="G56" s="511">
        <f t="shared" si="18"/>
        <v>0</v>
      </c>
      <c r="H56" s="477">
        <f t="shared" si="19"/>
        <v>0</v>
      </c>
      <c r="I56" s="500">
        <f t="shared" si="6"/>
        <v>0</v>
      </c>
      <c r="J56" s="500"/>
      <c r="K56" s="512"/>
      <c r="L56" s="504">
        <f t="shared" si="20"/>
        <v>0</v>
      </c>
      <c r="M56" s="512"/>
      <c r="N56" s="504">
        <f t="shared" si="4"/>
        <v>0</v>
      </c>
      <c r="O56" s="504">
        <f t="shared" si="5"/>
        <v>0</v>
      </c>
      <c r="P56" s="278"/>
      <c r="R56" s="243"/>
      <c r="S56" s="243"/>
      <c r="T56" s="243"/>
      <c r="U56" s="243"/>
    </row>
    <row r="57" spans="2:21">
      <c r="B57" s="145" t="str">
        <f t="shared" si="0"/>
        <v/>
      </c>
      <c r="C57" s="495">
        <f>IF(D11="","-",+C56+1)</f>
        <v>2053</v>
      </c>
      <c r="D57" s="508">
        <f>IF(F56+SUM(E$17:E56)=D$10,F56,D$10-SUM(E$17:E56))</f>
        <v>0</v>
      </c>
      <c r="E57" s="509">
        <f t="shared" si="16"/>
        <v>0</v>
      </c>
      <c r="F57" s="510">
        <f t="shared" si="17"/>
        <v>0</v>
      </c>
      <c r="G57" s="511">
        <f t="shared" si="18"/>
        <v>0</v>
      </c>
      <c r="H57" s="477">
        <f t="shared" si="19"/>
        <v>0</v>
      </c>
      <c r="I57" s="500">
        <f t="shared" si="6"/>
        <v>0</v>
      </c>
      <c r="J57" s="500"/>
      <c r="K57" s="512"/>
      <c r="L57" s="504">
        <f t="shared" si="20"/>
        <v>0</v>
      </c>
      <c r="M57" s="512"/>
      <c r="N57" s="504">
        <f t="shared" si="4"/>
        <v>0</v>
      </c>
      <c r="O57" s="504">
        <f t="shared" si="5"/>
        <v>0</v>
      </c>
      <c r="P57" s="278"/>
      <c r="R57" s="243"/>
      <c r="S57" s="243"/>
      <c r="T57" s="243"/>
      <c r="U57" s="243"/>
    </row>
    <row r="58" spans="2:21">
      <c r="B58" s="145" t="str">
        <f t="shared" si="0"/>
        <v/>
      </c>
      <c r="C58" s="495">
        <f>IF(D11="","-",+C57+1)</f>
        <v>2054</v>
      </c>
      <c r="D58" s="508">
        <f>IF(F57+SUM(E$17:E57)=D$10,F57,D$10-SUM(E$17:E57))</f>
        <v>0</v>
      </c>
      <c r="E58" s="509">
        <f t="shared" si="16"/>
        <v>0</v>
      </c>
      <c r="F58" s="510">
        <f t="shared" si="17"/>
        <v>0</v>
      </c>
      <c r="G58" s="511">
        <f t="shared" si="18"/>
        <v>0</v>
      </c>
      <c r="H58" s="477">
        <f t="shared" si="19"/>
        <v>0</v>
      </c>
      <c r="I58" s="500">
        <f t="shared" si="6"/>
        <v>0</v>
      </c>
      <c r="J58" s="500"/>
      <c r="K58" s="512"/>
      <c r="L58" s="504">
        <f t="shared" si="20"/>
        <v>0</v>
      </c>
      <c r="M58" s="512"/>
      <c r="N58" s="504">
        <f t="shared" si="4"/>
        <v>0</v>
      </c>
      <c r="O58" s="504">
        <f t="shared" si="5"/>
        <v>0</v>
      </c>
      <c r="P58" s="278"/>
      <c r="R58" s="243"/>
      <c r="S58" s="243"/>
      <c r="T58" s="243"/>
      <c r="U58" s="243"/>
    </row>
    <row r="59" spans="2:21">
      <c r="B59" s="145" t="str">
        <f t="shared" si="0"/>
        <v/>
      </c>
      <c r="C59" s="495">
        <f>IF(D11="","-",+C58+1)</f>
        <v>2055</v>
      </c>
      <c r="D59" s="508">
        <f>IF(F58+SUM(E$17:E58)=D$10,F58,D$10-SUM(E$17:E58))</f>
        <v>0</v>
      </c>
      <c r="E59" s="509">
        <f t="shared" si="16"/>
        <v>0</v>
      </c>
      <c r="F59" s="510">
        <f t="shared" si="17"/>
        <v>0</v>
      </c>
      <c r="G59" s="511">
        <f t="shared" si="18"/>
        <v>0</v>
      </c>
      <c r="H59" s="477">
        <f t="shared" si="19"/>
        <v>0</v>
      </c>
      <c r="I59" s="500">
        <f t="shared" si="6"/>
        <v>0</v>
      </c>
      <c r="J59" s="500"/>
      <c r="K59" s="512"/>
      <c r="L59" s="504">
        <f t="shared" si="20"/>
        <v>0</v>
      </c>
      <c r="M59" s="512"/>
      <c r="N59" s="504">
        <f t="shared" si="4"/>
        <v>0</v>
      </c>
      <c r="O59" s="504">
        <f t="shared" si="5"/>
        <v>0</v>
      </c>
      <c r="P59" s="278"/>
      <c r="R59" s="243"/>
      <c r="S59" s="243"/>
      <c r="T59" s="243"/>
      <c r="U59" s="243"/>
    </row>
    <row r="60" spans="2:21">
      <c r="B60" s="145" t="str">
        <f t="shared" si="0"/>
        <v/>
      </c>
      <c r="C60" s="495">
        <f>IF(D11="","-",+C59+1)</f>
        <v>2056</v>
      </c>
      <c r="D60" s="508">
        <f>IF(F59+SUM(E$17:E59)=D$10,F59,D$10-SUM(E$17:E59))</f>
        <v>0</v>
      </c>
      <c r="E60" s="509">
        <f t="shared" si="16"/>
        <v>0</v>
      </c>
      <c r="F60" s="510">
        <f t="shared" si="17"/>
        <v>0</v>
      </c>
      <c r="G60" s="511">
        <f t="shared" si="18"/>
        <v>0</v>
      </c>
      <c r="H60" s="477">
        <f t="shared" si="19"/>
        <v>0</v>
      </c>
      <c r="I60" s="500">
        <f t="shared" si="6"/>
        <v>0</v>
      </c>
      <c r="J60" s="500"/>
      <c r="K60" s="512"/>
      <c r="L60" s="504">
        <f t="shared" si="20"/>
        <v>0</v>
      </c>
      <c r="M60" s="512"/>
      <c r="N60" s="504">
        <f t="shared" si="4"/>
        <v>0</v>
      </c>
      <c r="O60" s="504">
        <f t="shared" si="5"/>
        <v>0</v>
      </c>
      <c r="P60" s="278"/>
      <c r="R60" s="243"/>
      <c r="S60" s="243"/>
      <c r="T60" s="243"/>
      <c r="U60" s="243"/>
    </row>
    <row r="61" spans="2:21">
      <c r="B61" s="145" t="str">
        <f t="shared" si="0"/>
        <v/>
      </c>
      <c r="C61" s="495">
        <f>IF(D11="","-",+C60+1)</f>
        <v>2057</v>
      </c>
      <c r="D61" s="508">
        <f>IF(F60+SUM(E$17:E60)=D$10,F60,D$10-SUM(E$17:E60))</f>
        <v>0</v>
      </c>
      <c r="E61" s="509">
        <f t="shared" si="16"/>
        <v>0</v>
      </c>
      <c r="F61" s="510">
        <f t="shared" si="17"/>
        <v>0</v>
      </c>
      <c r="G61" s="511">
        <f t="shared" si="18"/>
        <v>0</v>
      </c>
      <c r="H61" s="477">
        <f t="shared" si="19"/>
        <v>0</v>
      </c>
      <c r="I61" s="500">
        <f t="shared" si="6"/>
        <v>0</v>
      </c>
      <c r="J61" s="500"/>
      <c r="K61" s="512"/>
      <c r="L61" s="504">
        <f t="shared" si="20"/>
        <v>0</v>
      </c>
      <c r="M61" s="512"/>
      <c r="N61" s="504">
        <f t="shared" si="4"/>
        <v>0</v>
      </c>
      <c r="O61" s="504">
        <f t="shared" si="5"/>
        <v>0</v>
      </c>
      <c r="P61" s="278"/>
      <c r="R61" s="243"/>
      <c r="S61" s="243"/>
      <c r="T61" s="243"/>
      <c r="U61" s="243"/>
    </row>
    <row r="62" spans="2:21">
      <c r="B62" s="145" t="str">
        <f t="shared" si="0"/>
        <v/>
      </c>
      <c r="C62" s="495">
        <f>IF(D11="","-",+C61+1)</f>
        <v>2058</v>
      </c>
      <c r="D62" s="508">
        <f>IF(F61+SUM(E$17:E61)=D$10,F61,D$10-SUM(E$17:E61))</f>
        <v>0</v>
      </c>
      <c r="E62" s="509">
        <f t="shared" si="16"/>
        <v>0</v>
      </c>
      <c r="F62" s="510">
        <f t="shared" si="17"/>
        <v>0</v>
      </c>
      <c r="G62" s="511">
        <f t="shared" si="18"/>
        <v>0</v>
      </c>
      <c r="H62" s="477">
        <f t="shared" si="19"/>
        <v>0</v>
      </c>
      <c r="I62" s="500">
        <f t="shared" si="6"/>
        <v>0</v>
      </c>
      <c r="J62" s="500"/>
      <c r="K62" s="512"/>
      <c r="L62" s="504">
        <f t="shared" si="20"/>
        <v>0</v>
      </c>
      <c r="M62" s="512"/>
      <c r="N62" s="504">
        <f t="shared" si="4"/>
        <v>0</v>
      </c>
      <c r="O62" s="504">
        <f t="shared" si="5"/>
        <v>0</v>
      </c>
      <c r="P62" s="278"/>
      <c r="R62" s="243"/>
      <c r="S62" s="243"/>
      <c r="T62" s="243"/>
      <c r="U62" s="243"/>
    </row>
    <row r="63" spans="2:21">
      <c r="B63" s="145" t="str">
        <f t="shared" si="0"/>
        <v/>
      </c>
      <c r="C63" s="495">
        <f>IF(D11="","-",+C62+1)</f>
        <v>2059</v>
      </c>
      <c r="D63" s="508">
        <f>IF(F62+SUM(E$17:E62)=D$10,F62,D$10-SUM(E$17:E62))</f>
        <v>0</v>
      </c>
      <c r="E63" s="509">
        <f t="shared" si="16"/>
        <v>0</v>
      </c>
      <c r="F63" s="510">
        <f t="shared" si="17"/>
        <v>0</v>
      </c>
      <c r="G63" s="511">
        <f t="shared" si="18"/>
        <v>0</v>
      </c>
      <c r="H63" s="477">
        <f t="shared" si="19"/>
        <v>0</v>
      </c>
      <c r="I63" s="500">
        <f t="shared" si="6"/>
        <v>0</v>
      </c>
      <c r="J63" s="500"/>
      <c r="K63" s="512"/>
      <c r="L63" s="504">
        <f t="shared" si="20"/>
        <v>0</v>
      </c>
      <c r="M63" s="512"/>
      <c r="N63" s="504">
        <f t="shared" si="4"/>
        <v>0</v>
      </c>
      <c r="O63" s="504">
        <f t="shared" si="5"/>
        <v>0</v>
      </c>
      <c r="P63" s="278"/>
      <c r="R63" s="243"/>
      <c r="S63" s="243"/>
      <c r="T63" s="243"/>
      <c r="U63" s="243"/>
    </row>
    <row r="64" spans="2:21">
      <c r="B64" s="145" t="str">
        <f>IF(D64=F63,"","IU")</f>
        <v/>
      </c>
      <c r="C64" s="495">
        <f>IF(D11="","-",+C63+1)</f>
        <v>2060</v>
      </c>
      <c r="D64" s="508">
        <f>IF(F63+SUM(E$17:E63)=D$10,F63,D$10-SUM(E$17:E63))</f>
        <v>0</v>
      </c>
      <c r="E64" s="509">
        <f t="shared" si="16"/>
        <v>0</v>
      </c>
      <c r="F64" s="510">
        <f t="shared" si="17"/>
        <v>0</v>
      </c>
      <c r="G64" s="511">
        <f t="shared" si="18"/>
        <v>0</v>
      </c>
      <c r="H64" s="477">
        <f t="shared" si="19"/>
        <v>0</v>
      </c>
      <c r="I64" s="500">
        <f t="shared" si="6"/>
        <v>0</v>
      </c>
      <c r="J64" s="500"/>
      <c r="K64" s="512"/>
      <c r="L64" s="504">
        <f t="shared" si="20"/>
        <v>0</v>
      </c>
      <c r="M64" s="512"/>
      <c r="N64" s="504">
        <f t="shared" si="4"/>
        <v>0</v>
      </c>
      <c r="O64" s="504">
        <f t="shared" si="5"/>
        <v>0</v>
      </c>
      <c r="P64" s="278"/>
      <c r="R64" s="243"/>
      <c r="S64" s="243"/>
      <c r="T64" s="243"/>
      <c r="U64" s="243"/>
    </row>
    <row r="65" spans="2:21">
      <c r="B65" s="145" t="str">
        <f t="shared" si="0"/>
        <v/>
      </c>
      <c r="C65" s="495">
        <f>IF(D11="","-",+C64+1)</f>
        <v>2061</v>
      </c>
      <c r="D65" s="508">
        <f>IF(F64+SUM(E$17:E64)=D$10,F64,D$10-SUM(E$17:E64))</f>
        <v>0</v>
      </c>
      <c r="E65" s="509">
        <f t="shared" si="16"/>
        <v>0</v>
      </c>
      <c r="F65" s="510">
        <f t="shared" si="17"/>
        <v>0</v>
      </c>
      <c r="G65" s="511">
        <f t="shared" si="18"/>
        <v>0</v>
      </c>
      <c r="H65" s="477">
        <f t="shared" si="19"/>
        <v>0</v>
      </c>
      <c r="I65" s="500">
        <f t="shared" si="6"/>
        <v>0</v>
      </c>
      <c r="J65" s="500"/>
      <c r="K65" s="512"/>
      <c r="L65" s="504">
        <f t="shared" si="20"/>
        <v>0</v>
      </c>
      <c r="M65" s="512"/>
      <c r="N65" s="504">
        <f t="shared" si="4"/>
        <v>0</v>
      </c>
      <c r="O65" s="504">
        <f t="shared" si="5"/>
        <v>0</v>
      </c>
      <c r="P65" s="278"/>
      <c r="R65" s="243"/>
      <c r="S65" s="243"/>
      <c r="T65" s="243"/>
      <c r="U65" s="243"/>
    </row>
    <row r="66" spans="2:21">
      <c r="B66" s="145" t="str">
        <f t="shared" si="0"/>
        <v/>
      </c>
      <c r="C66" s="495">
        <f>IF(D11="","-",+C65+1)</f>
        <v>2062</v>
      </c>
      <c r="D66" s="508">
        <f>IF(F65+SUM(E$17:E65)=D$10,F65,D$10-SUM(E$17:E65))</f>
        <v>0</v>
      </c>
      <c r="E66" s="509">
        <f t="shared" si="16"/>
        <v>0</v>
      </c>
      <c r="F66" s="510">
        <f t="shared" si="17"/>
        <v>0</v>
      </c>
      <c r="G66" s="511">
        <f t="shared" si="18"/>
        <v>0</v>
      </c>
      <c r="H66" s="477">
        <f t="shared" si="19"/>
        <v>0</v>
      </c>
      <c r="I66" s="500">
        <f t="shared" si="6"/>
        <v>0</v>
      </c>
      <c r="J66" s="500"/>
      <c r="K66" s="512"/>
      <c r="L66" s="504">
        <f t="shared" si="20"/>
        <v>0</v>
      </c>
      <c r="M66" s="512"/>
      <c r="N66" s="504">
        <f t="shared" si="4"/>
        <v>0</v>
      </c>
      <c r="O66" s="504">
        <f t="shared" si="5"/>
        <v>0</v>
      </c>
      <c r="P66" s="278"/>
      <c r="R66" s="243"/>
      <c r="S66" s="243"/>
      <c r="T66" s="243"/>
      <c r="U66" s="243"/>
    </row>
    <row r="67" spans="2:21">
      <c r="B67" s="145" t="str">
        <f t="shared" si="0"/>
        <v/>
      </c>
      <c r="C67" s="495">
        <f>IF(D11="","-",+C66+1)</f>
        <v>2063</v>
      </c>
      <c r="D67" s="508">
        <f>IF(F66+SUM(E$17:E66)=D$10,F66,D$10-SUM(E$17:E66))</f>
        <v>0</v>
      </c>
      <c r="E67" s="509">
        <f t="shared" si="16"/>
        <v>0</v>
      </c>
      <c r="F67" s="510">
        <f t="shared" si="17"/>
        <v>0</v>
      </c>
      <c r="G67" s="511">
        <f t="shared" si="18"/>
        <v>0</v>
      </c>
      <c r="H67" s="477">
        <f t="shared" si="19"/>
        <v>0</v>
      </c>
      <c r="I67" s="500">
        <f t="shared" si="6"/>
        <v>0</v>
      </c>
      <c r="J67" s="500"/>
      <c r="K67" s="512"/>
      <c r="L67" s="504">
        <f t="shared" si="20"/>
        <v>0</v>
      </c>
      <c r="M67" s="512"/>
      <c r="N67" s="504">
        <f t="shared" si="4"/>
        <v>0</v>
      </c>
      <c r="O67" s="504">
        <f t="shared" si="5"/>
        <v>0</v>
      </c>
      <c r="P67" s="278"/>
      <c r="R67" s="243"/>
      <c r="S67" s="243"/>
      <c r="T67" s="243"/>
      <c r="U67" s="243"/>
    </row>
    <row r="68" spans="2:21">
      <c r="B68" s="145" t="str">
        <f t="shared" si="0"/>
        <v/>
      </c>
      <c r="C68" s="495">
        <f>IF(D11="","-",+C67+1)</f>
        <v>2064</v>
      </c>
      <c r="D68" s="508">
        <f>IF(F67+SUM(E$17:E67)=D$10,F67,D$10-SUM(E$17:E67))</f>
        <v>0</v>
      </c>
      <c r="E68" s="509">
        <f t="shared" si="16"/>
        <v>0</v>
      </c>
      <c r="F68" s="510">
        <f t="shared" si="17"/>
        <v>0</v>
      </c>
      <c r="G68" s="511">
        <f t="shared" si="18"/>
        <v>0</v>
      </c>
      <c r="H68" s="477">
        <f t="shared" si="19"/>
        <v>0</v>
      </c>
      <c r="I68" s="500">
        <f t="shared" si="6"/>
        <v>0</v>
      </c>
      <c r="J68" s="500"/>
      <c r="K68" s="512"/>
      <c r="L68" s="504">
        <f t="shared" si="20"/>
        <v>0</v>
      </c>
      <c r="M68" s="512"/>
      <c r="N68" s="504">
        <f t="shared" si="4"/>
        <v>0</v>
      </c>
      <c r="O68" s="504">
        <f t="shared" si="5"/>
        <v>0</v>
      </c>
      <c r="P68" s="278"/>
      <c r="R68" s="243"/>
      <c r="S68" s="243"/>
      <c r="T68" s="243"/>
      <c r="U68" s="243"/>
    </row>
    <row r="69" spans="2:21">
      <c r="B69" s="145" t="str">
        <f t="shared" si="0"/>
        <v/>
      </c>
      <c r="C69" s="495">
        <f>IF(D11="","-",+C68+1)</f>
        <v>2065</v>
      </c>
      <c r="D69" s="508">
        <f>IF(F68+SUM(E$17:E68)=D$10,F68,D$10-SUM(E$17:E68))</f>
        <v>0</v>
      </c>
      <c r="E69" s="509">
        <f t="shared" si="16"/>
        <v>0</v>
      </c>
      <c r="F69" s="510">
        <f t="shared" si="17"/>
        <v>0</v>
      </c>
      <c r="G69" s="511">
        <f t="shared" si="18"/>
        <v>0</v>
      </c>
      <c r="H69" s="477">
        <f t="shared" si="19"/>
        <v>0</v>
      </c>
      <c r="I69" s="500">
        <f t="shared" si="6"/>
        <v>0</v>
      </c>
      <c r="J69" s="500"/>
      <c r="K69" s="512"/>
      <c r="L69" s="504">
        <f t="shared" si="20"/>
        <v>0</v>
      </c>
      <c r="M69" s="512"/>
      <c r="N69" s="504">
        <f t="shared" si="4"/>
        <v>0</v>
      </c>
      <c r="O69" s="504">
        <f t="shared" si="5"/>
        <v>0</v>
      </c>
      <c r="P69" s="278"/>
      <c r="R69" s="243"/>
      <c r="S69" s="243"/>
      <c r="T69" s="243"/>
      <c r="U69" s="243"/>
    </row>
    <row r="70" spans="2:21">
      <c r="B70" s="145" t="str">
        <f t="shared" si="0"/>
        <v/>
      </c>
      <c r="C70" s="495">
        <f>IF(D11="","-",+C69+1)</f>
        <v>2066</v>
      </c>
      <c r="D70" s="508">
        <f>IF(F69+SUM(E$17:E69)=D$10,F69,D$10-SUM(E$17:E69))</f>
        <v>0</v>
      </c>
      <c r="E70" s="509">
        <f t="shared" si="16"/>
        <v>0</v>
      </c>
      <c r="F70" s="510">
        <f t="shared" si="17"/>
        <v>0</v>
      </c>
      <c r="G70" s="511">
        <f t="shared" si="18"/>
        <v>0</v>
      </c>
      <c r="H70" s="477">
        <f t="shared" si="19"/>
        <v>0</v>
      </c>
      <c r="I70" s="500">
        <f t="shared" si="6"/>
        <v>0</v>
      </c>
      <c r="J70" s="500"/>
      <c r="K70" s="512"/>
      <c r="L70" s="504">
        <f t="shared" si="20"/>
        <v>0</v>
      </c>
      <c r="M70" s="512"/>
      <c r="N70" s="504">
        <f t="shared" si="4"/>
        <v>0</v>
      </c>
      <c r="O70" s="504">
        <f t="shared" si="5"/>
        <v>0</v>
      </c>
      <c r="P70" s="278"/>
      <c r="R70" s="243"/>
      <c r="S70" s="243"/>
      <c r="T70" s="243"/>
      <c r="U70" s="243"/>
    </row>
    <row r="71" spans="2:21">
      <c r="B71" s="145" t="str">
        <f t="shared" si="0"/>
        <v/>
      </c>
      <c r="C71" s="495">
        <f>IF(D11="","-",+C70+1)</f>
        <v>2067</v>
      </c>
      <c r="D71" s="508">
        <f>IF(F70+SUM(E$17:E70)=D$10,F70,D$10-SUM(E$17:E70))</f>
        <v>0</v>
      </c>
      <c r="E71" s="509">
        <f t="shared" si="16"/>
        <v>0</v>
      </c>
      <c r="F71" s="510">
        <f t="shared" si="17"/>
        <v>0</v>
      </c>
      <c r="G71" s="511">
        <f t="shared" si="18"/>
        <v>0</v>
      </c>
      <c r="H71" s="477">
        <f t="shared" si="19"/>
        <v>0</v>
      </c>
      <c r="I71" s="500">
        <f t="shared" si="6"/>
        <v>0</v>
      </c>
      <c r="J71" s="500"/>
      <c r="K71" s="512"/>
      <c r="L71" s="504">
        <f t="shared" si="20"/>
        <v>0</v>
      </c>
      <c r="M71" s="512"/>
      <c r="N71" s="504">
        <f t="shared" si="4"/>
        <v>0</v>
      </c>
      <c r="O71" s="504">
        <f t="shared" si="5"/>
        <v>0</v>
      </c>
      <c r="P71" s="278"/>
      <c r="R71" s="243"/>
      <c r="S71" s="243"/>
      <c r="T71" s="243"/>
      <c r="U71" s="243"/>
    </row>
    <row r="72" spans="2:21">
      <c r="B72" s="145" t="str">
        <f t="shared" si="0"/>
        <v/>
      </c>
      <c r="C72" s="495">
        <f>IF(D11="","-",+C71+1)</f>
        <v>2068</v>
      </c>
      <c r="D72" s="508">
        <f>IF(F71+SUM(E$17:E71)=D$10,F71,D$10-SUM(E$17:E71))</f>
        <v>0</v>
      </c>
      <c r="E72" s="509">
        <f t="shared" si="16"/>
        <v>0</v>
      </c>
      <c r="F72" s="510">
        <f t="shared" si="17"/>
        <v>0</v>
      </c>
      <c r="G72" s="511">
        <f t="shared" si="18"/>
        <v>0</v>
      </c>
      <c r="H72" s="477">
        <f t="shared" si="19"/>
        <v>0</v>
      </c>
      <c r="I72" s="500">
        <f t="shared" si="6"/>
        <v>0</v>
      </c>
      <c r="J72" s="500"/>
      <c r="K72" s="512"/>
      <c r="L72" s="504">
        <f t="shared" si="20"/>
        <v>0</v>
      </c>
      <c r="M72" s="512"/>
      <c r="N72" s="504">
        <f t="shared" si="4"/>
        <v>0</v>
      </c>
      <c r="O72" s="504">
        <f t="shared" si="5"/>
        <v>0</v>
      </c>
      <c r="P72" s="278"/>
      <c r="R72" s="243"/>
      <c r="S72" s="243"/>
      <c r="T72" s="243"/>
      <c r="U72" s="243"/>
    </row>
    <row r="73" spans="2:21" ht="13.5" thickBot="1">
      <c r="B73" s="145" t="str">
        <f t="shared" si="0"/>
        <v/>
      </c>
      <c r="C73" s="524">
        <f>IF(D11="","-",+C72+1)</f>
        <v>2069</v>
      </c>
      <c r="D73" s="525">
        <f>IF(F72+SUM(E$17:E72)=D$10,F72,D$10-SUM(E$17:E72))</f>
        <v>0</v>
      </c>
      <c r="E73" s="526">
        <f t="shared" si="16"/>
        <v>0</v>
      </c>
      <c r="F73" s="527">
        <f t="shared" si="17"/>
        <v>0</v>
      </c>
      <c r="G73" s="527">
        <f t="shared" si="18"/>
        <v>0</v>
      </c>
      <c r="H73" s="527">
        <f t="shared" si="19"/>
        <v>0</v>
      </c>
      <c r="I73" s="529">
        <f t="shared" si="6"/>
        <v>0</v>
      </c>
      <c r="J73" s="500"/>
      <c r="K73" s="530"/>
      <c r="L73" s="531">
        <f t="shared" si="20"/>
        <v>0</v>
      </c>
      <c r="M73" s="530"/>
      <c r="N73" s="531">
        <f t="shared" si="4"/>
        <v>0</v>
      </c>
      <c r="O73" s="531">
        <f t="shared" si="5"/>
        <v>0</v>
      </c>
      <c r="P73" s="278"/>
      <c r="R73" s="243"/>
      <c r="S73" s="243"/>
      <c r="T73" s="243"/>
      <c r="U73" s="243"/>
    </row>
    <row r="74" spans="2:21">
      <c r="C74" s="349" t="s">
        <v>75</v>
      </c>
      <c r="D74" s="294"/>
      <c r="E74" s="294">
        <f>SUM(E17:E73)</f>
        <v>7210308.9999999991</v>
      </c>
      <c r="F74" s="294"/>
      <c r="G74" s="294">
        <f>SUM(G17:G73)</f>
        <v>21819382.241689533</v>
      </c>
      <c r="H74" s="294">
        <f>SUM(H17:H73)</f>
        <v>21819382.241689533</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438" t="str">
        <f ca="1">P1</f>
        <v>OKT Project 10 of 23</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2020</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862818.59359815018</v>
      </c>
      <c r="N88" s="544">
        <f>IF(J93&lt;D11,0,VLOOKUP(J93,C17:O73,11))</f>
        <v>862818.59359815018</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918267.16489887808</v>
      </c>
      <c r="N89" s="548">
        <f>IF(J93&lt;D11,0,VLOOKUP(J93,C100:P155,7))</f>
        <v>918267.16489887808</v>
      </c>
      <c r="O89" s="549">
        <f>+N89-M89</f>
        <v>0</v>
      </c>
      <c r="P89" s="243"/>
      <c r="Q89" s="243"/>
      <c r="R89" s="243"/>
      <c r="S89" s="243"/>
      <c r="T89" s="243"/>
      <c r="U89" s="243"/>
    </row>
    <row r="90" spans="1:21" ht="13.5" thickBot="1">
      <c r="C90" s="454" t="s">
        <v>82</v>
      </c>
      <c r="D90" s="550" t="str">
        <f>+D7</f>
        <v>Wapanucka Customer Connection</v>
      </c>
      <c r="E90" s="243"/>
      <c r="F90" s="243"/>
      <c r="G90" s="243"/>
      <c r="H90" s="243"/>
      <c r="I90" s="325"/>
      <c r="J90" s="325"/>
      <c r="K90" s="551"/>
      <c r="L90" s="552" t="s">
        <v>135</v>
      </c>
      <c r="M90" s="553">
        <f>+M89-M88</f>
        <v>55448.571300727897</v>
      </c>
      <c r="N90" s="553">
        <f>+N89-N88</f>
        <v>55448.571300727897</v>
      </c>
      <c r="O90" s="554">
        <f>+O89-O88</f>
        <v>0</v>
      </c>
      <c r="P90" s="243"/>
      <c r="Q90" s="243"/>
      <c r="R90" s="243"/>
      <c r="S90" s="243"/>
      <c r="T90" s="243"/>
      <c r="U90" s="243"/>
    </row>
    <row r="91" spans="1:21" ht="13.5" thickBot="1">
      <c r="C91" s="532"/>
      <c r="D91" s="626" t="str">
        <f>IF(D8="","",D8)</f>
        <v>***Sch. 11 recovery commenced in 2015 rate year***</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TP2012141</v>
      </c>
      <c r="E92" s="558"/>
      <c r="F92" s="558"/>
      <c r="G92" s="558"/>
      <c r="H92" s="558"/>
      <c r="I92" s="558"/>
      <c r="J92" s="558"/>
      <c r="K92" s="560"/>
      <c r="P92" s="468"/>
      <c r="Q92" s="243"/>
      <c r="R92" s="243"/>
      <c r="S92" s="243"/>
      <c r="T92" s="243"/>
      <c r="U92" s="243"/>
    </row>
    <row r="93" spans="1:21">
      <c r="C93" s="472" t="s">
        <v>49</v>
      </c>
      <c r="D93" s="622">
        <v>7210309</v>
      </c>
      <c r="E93" s="248" t="s">
        <v>84</v>
      </c>
      <c r="H93" s="408"/>
      <c r="I93" s="408"/>
      <c r="J93" s="471">
        <f>+'OKT.WS.G.BPU.ATRR.True-up'!M16</f>
        <v>2020</v>
      </c>
      <c r="K93" s="467"/>
      <c r="L93" s="294" t="s">
        <v>85</v>
      </c>
      <c r="P93" s="278"/>
      <c r="Q93" s="243"/>
      <c r="R93" s="243"/>
      <c r="S93" s="243"/>
      <c r="T93" s="243"/>
      <c r="U93" s="243"/>
    </row>
    <row r="94" spans="1:21">
      <c r="C94" s="472" t="s">
        <v>52</v>
      </c>
      <c r="D94" s="561">
        <f>D11</f>
        <v>2013</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f>D12</f>
        <v>12</v>
      </c>
      <c r="E95" s="472" t="s">
        <v>55</v>
      </c>
      <c r="F95" s="408"/>
      <c r="G95" s="408"/>
      <c r="J95" s="476">
        <f>'OKT.WS.G.BPU.ATRR.True-up'!$F$81</f>
        <v>0.11475877389767174</v>
      </c>
      <c r="K95" s="413"/>
      <c r="L95" s="145" t="s">
        <v>86</v>
      </c>
      <c r="P95" s="278"/>
      <c r="Q95" s="243"/>
      <c r="R95" s="243"/>
      <c r="S95" s="243"/>
      <c r="T95" s="243"/>
      <c r="U95" s="243"/>
    </row>
    <row r="96" spans="1:21">
      <c r="C96" s="472" t="s">
        <v>57</v>
      </c>
      <c r="D96" s="474">
        <f>'OKT.WS.G.BPU.ATRR.True-up'!F$93</f>
        <v>21</v>
      </c>
      <c r="E96" s="472" t="s">
        <v>58</v>
      </c>
      <c r="F96" s="408"/>
      <c r="G96" s="408"/>
      <c r="J96" s="476">
        <f>IF(H88="",J95,'OKT.WS.G.BPU.ATRR.True-up'!$F$80)</f>
        <v>0.11475877389767174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343348.04761904763</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c r="Q99" s="243"/>
      <c r="R99" s="243"/>
      <c r="S99" s="243"/>
      <c r="T99" s="243"/>
      <c r="U99" s="243"/>
    </row>
    <row r="100" spans="1:21">
      <c r="C100" s="495">
        <f>IF(D94= "","-",D94)</f>
        <v>2013</v>
      </c>
      <c r="D100" s="349"/>
      <c r="E100" s="511"/>
      <c r="F100" s="510"/>
      <c r="G100" s="605"/>
      <c r="H100" s="605"/>
      <c r="I100" s="605"/>
      <c r="J100" s="504"/>
      <c r="K100" s="504"/>
      <c r="L100" s="501"/>
      <c r="M100" s="502">
        <f t="shared" ref="M100:M131" si="21">IF(L100&lt;&gt;0,+H100-L100,0)</f>
        <v>0</v>
      </c>
      <c r="N100" s="501"/>
      <c r="O100" s="503">
        <f t="shared" ref="O100:O131" si="22">IF(N100&lt;&gt;0,+I100-N100,0)</f>
        <v>0</v>
      </c>
      <c r="P100" s="503">
        <f t="shared" ref="P100:P131" si="23">+O100-M100</f>
        <v>0</v>
      </c>
      <c r="Q100" s="243"/>
      <c r="R100" s="243"/>
      <c r="S100" s="243"/>
      <c r="T100" s="243"/>
      <c r="U100" s="243"/>
    </row>
    <row r="101" spans="1:21">
      <c r="C101" s="495">
        <f>IF(D94="","-",+C100+1)</f>
        <v>2014</v>
      </c>
      <c r="D101" s="349"/>
      <c r="E101" s="509"/>
      <c r="F101" s="510"/>
      <c r="G101" s="510"/>
      <c r="H101" s="627"/>
      <c r="I101" s="628"/>
      <c r="J101" s="504"/>
      <c r="K101" s="504"/>
      <c r="L101" s="506"/>
      <c r="M101" s="507">
        <f t="shared" si="21"/>
        <v>0</v>
      </c>
      <c r="N101" s="506"/>
      <c r="O101" s="504">
        <f t="shared" si="22"/>
        <v>0</v>
      </c>
      <c r="P101" s="504">
        <f t="shared" si="23"/>
        <v>0</v>
      </c>
      <c r="Q101" s="243"/>
      <c r="R101" s="243"/>
      <c r="S101" s="243"/>
      <c r="T101" s="243"/>
      <c r="U101" s="243"/>
    </row>
    <row r="102" spans="1:21">
      <c r="B102" s="145" t="str">
        <f t="shared" ref="B102:B155" si="24">IF(D102=F101,"","IU")</f>
        <v>IU</v>
      </c>
      <c r="C102" s="495">
        <f>IF(D94="","-",+C101+1)</f>
        <v>2015</v>
      </c>
      <c r="D102" s="496">
        <v>7076304.3908220464</v>
      </c>
      <c r="E102" s="498">
        <v>150018.20833333334</v>
      </c>
      <c r="F102" s="505">
        <v>6926286.1824887134</v>
      </c>
      <c r="G102" s="505">
        <v>7001295.2866553795</v>
      </c>
      <c r="H102" s="498">
        <v>929468.41200641857</v>
      </c>
      <c r="I102" s="499">
        <v>929468.41200641857</v>
      </c>
      <c r="J102" s="504">
        <v>0</v>
      </c>
      <c r="K102" s="504"/>
      <c r="L102" s="506">
        <f t="shared" ref="L102:L107" si="25">H102</f>
        <v>929468.41200641857</v>
      </c>
      <c r="M102" s="504">
        <f t="shared" ref="M102:M107" si="26">IF(L102&lt;&gt;0,+H102-L102,0)</f>
        <v>0</v>
      </c>
      <c r="N102" s="506">
        <f t="shared" ref="N102:N107" si="27">I102</f>
        <v>929468.41200641857</v>
      </c>
      <c r="O102" s="504">
        <f t="shared" si="22"/>
        <v>0</v>
      </c>
      <c r="P102" s="504">
        <f t="shared" si="23"/>
        <v>0</v>
      </c>
      <c r="Q102" s="243"/>
      <c r="R102" s="243"/>
      <c r="S102" s="243"/>
      <c r="T102" s="243"/>
      <c r="U102" s="243"/>
    </row>
    <row r="103" spans="1:21">
      <c r="B103" s="145" t="str">
        <f t="shared" si="24"/>
        <v>IU</v>
      </c>
      <c r="C103" s="495">
        <f>IF(D94="","-",+C102+1)</f>
        <v>2016</v>
      </c>
      <c r="D103" s="496">
        <v>7060290.791666667</v>
      </c>
      <c r="E103" s="498">
        <v>141378.60784313726</v>
      </c>
      <c r="F103" s="505">
        <v>6918912.1838235296</v>
      </c>
      <c r="G103" s="505">
        <v>6989601.4877450988</v>
      </c>
      <c r="H103" s="498">
        <v>898837.94259524392</v>
      </c>
      <c r="I103" s="499">
        <v>898837.94259524392</v>
      </c>
      <c r="J103" s="504">
        <f>+I103-H103</f>
        <v>0</v>
      </c>
      <c r="K103" s="504"/>
      <c r="L103" s="506">
        <f t="shared" si="25"/>
        <v>898837.94259524392</v>
      </c>
      <c r="M103" s="504">
        <f t="shared" si="26"/>
        <v>0</v>
      </c>
      <c r="N103" s="506">
        <f t="shared" si="27"/>
        <v>898837.94259524392</v>
      </c>
      <c r="O103" s="504">
        <f>IF(N103&lt;&gt;0,+I103-N103,0)</f>
        <v>0</v>
      </c>
      <c r="P103" s="504">
        <f>+O103-M103</f>
        <v>0</v>
      </c>
      <c r="Q103" s="243"/>
      <c r="R103" s="243"/>
      <c r="S103" s="243"/>
      <c r="T103" s="243"/>
      <c r="U103" s="243"/>
    </row>
    <row r="104" spans="1:21">
      <c r="B104" s="145" t="str">
        <f t="shared" si="24"/>
        <v/>
      </c>
      <c r="C104" s="495">
        <f>IF(D94="","-",+C103+1)</f>
        <v>2017</v>
      </c>
      <c r="D104" s="496">
        <v>6918912.1838235296</v>
      </c>
      <c r="E104" s="498">
        <v>180257.72500000001</v>
      </c>
      <c r="F104" s="505">
        <v>6738654.45882353</v>
      </c>
      <c r="G104" s="505">
        <v>6828783.3213235298</v>
      </c>
      <c r="H104" s="498">
        <v>981518.91752081981</v>
      </c>
      <c r="I104" s="499">
        <v>981518.91752081981</v>
      </c>
      <c r="J104" s="504">
        <f t="shared" ref="J104:J155" si="28">+I104-H104</f>
        <v>0</v>
      </c>
      <c r="K104" s="504"/>
      <c r="L104" s="506">
        <f t="shared" si="25"/>
        <v>981518.91752081981</v>
      </c>
      <c r="M104" s="504">
        <f t="shared" si="26"/>
        <v>0</v>
      </c>
      <c r="N104" s="506">
        <f t="shared" si="27"/>
        <v>981518.91752081981</v>
      </c>
      <c r="O104" s="504">
        <f>IF(N104&lt;&gt;0,+I104-N104,0)</f>
        <v>0</v>
      </c>
      <c r="P104" s="504">
        <f>+O104-M104</f>
        <v>0</v>
      </c>
      <c r="Q104" s="243"/>
      <c r="R104" s="243"/>
      <c r="S104" s="243"/>
      <c r="T104" s="243"/>
      <c r="U104" s="243"/>
    </row>
    <row r="105" spans="1:21">
      <c r="B105" s="145" t="str">
        <f t="shared" si="24"/>
        <v/>
      </c>
      <c r="C105" s="495">
        <f>IF(D94="","-",+C104+1)</f>
        <v>2018</v>
      </c>
      <c r="D105" s="496">
        <v>6738654.45882353</v>
      </c>
      <c r="E105" s="498">
        <v>200286.36111111112</v>
      </c>
      <c r="F105" s="505">
        <v>6538368.097712419</v>
      </c>
      <c r="G105" s="505">
        <v>6638511.278267974</v>
      </c>
      <c r="H105" s="498">
        <v>901063.87001696113</v>
      </c>
      <c r="I105" s="499">
        <v>901063.87001696113</v>
      </c>
      <c r="J105" s="504">
        <f t="shared" si="28"/>
        <v>0</v>
      </c>
      <c r="K105" s="504"/>
      <c r="L105" s="506">
        <f t="shared" si="25"/>
        <v>901063.87001696113</v>
      </c>
      <c r="M105" s="504">
        <f t="shared" si="26"/>
        <v>0</v>
      </c>
      <c r="N105" s="506">
        <f t="shared" si="27"/>
        <v>901063.87001696113</v>
      </c>
      <c r="O105" s="504">
        <f>IF(N105&lt;&gt;0,+I105-N105,0)</f>
        <v>0</v>
      </c>
      <c r="P105" s="504">
        <f>+O105-M105</f>
        <v>0</v>
      </c>
      <c r="Q105" s="243"/>
      <c r="R105" s="243"/>
      <c r="S105" s="243"/>
      <c r="T105" s="243"/>
      <c r="U105" s="243"/>
    </row>
    <row r="106" spans="1:21">
      <c r="B106" s="145" t="str">
        <f t="shared" si="24"/>
        <v/>
      </c>
      <c r="C106" s="495">
        <f>IF(D94="","-",+C105+1)</f>
        <v>2019</v>
      </c>
      <c r="D106" s="496">
        <v>6538368.097712419</v>
      </c>
      <c r="E106" s="498">
        <v>200286.36111111112</v>
      </c>
      <c r="F106" s="505">
        <v>6338081.736601308</v>
      </c>
      <c r="G106" s="505">
        <v>6438224.917156864</v>
      </c>
      <c r="H106" s="498">
        <v>879921.15121692908</v>
      </c>
      <c r="I106" s="499">
        <v>879921.15121692908</v>
      </c>
      <c r="J106" s="504">
        <f t="shared" si="28"/>
        <v>0</v>
      </c>
      <c r="K106" s="504"/>
      <c r="L106" s="506">
        <f t="shared" si="25"/>
        <v>879921.15121692908</v>
      </c>
      <c r="M106" s="504">
        <f t="shared" si="26"/>
        <v>0</v>
      </c>
      <c r="N106" s="506">
        <f t="shared" si="27"/>
        <v>879921.15121692908</v>
      </c>
      <c r="O106" s="504">
        <f t="shared" si="22"/>
        <v>0</v>
      </c>
      <c r="P106" s="504">
        <f t="shared" si="23"/>
        <v>0</v>
      </c>
      <c r="Q106" s="243"/>
      <c r="R106" s="243"/>
      <c r="S106" s="243"/>
      <c r="T106" s="243"/>
      <c r="U106" s="243"/>
    </row>
    <row r="107" spans="1:21">
      <c r="B107" s="145" t="str">
        <f t="shared" si="24"/>
        <v/>
      </c>
      <c r="C107" s="495">
        <f>IF(D94="","-",+C106+1)</f>
        <v>2020</v>
      </c>
      <c r="D107" s="496">
        <v>6338081.736601308</v>
      </c>
      <c r="E107" s="498">
        <v>257511.03571428571</v>
      </c>
      <c r="F107" s="505">
        <v>6080570.7008870225</v>
      </c>
      <c r="G107" s="505">
        <v>6209326.2187441653</v>
      </c>
      <c r="H107" s="498">
        <v>918267.16489887808</v>
      </c>
      <c r="I107" s="499">
        <v>918267.16489887808</v>
      </c>
      <c r="J107" s="504">
        <f t="shared" si="28"/>
        <v>0</v>
      </c>
      <c r="K107" s="504"/>
      <c r="L107" s="506">
        <f t="shared" si="25"/>
        <v>918267.16489887808</v>
      </c>
      <c r="M107" s="504">
        <f t="shared" si="26"/>
        <v>0</v>
      </c>
      <c r="N107" s="506">
        <f t="shared" si="27"/>
        <v>918267.16489887808</v>
      </c>
      <c r="O107" s="504">
        <f t="shared" si="22"/>
        <v>0</v>
      </c>
      <c r="P107" s="504">
        <f t="shared" si="23"/>
        <v>0</v>
      </c>
      <c r="Q107" s="243"/>
      <c r="R107" s="243"/>
      <c r="S107" s="243"/>
      <c r="T107" s="243"/>
      <c r="U107" s="243"/>
    </row>
    <row r="108" spans="1:21">
      <c r="B108" s="145" t="str">
        <f t="shared" si="24"/>
        <v/>
      </c>
      <c r="C108" s="495">
        <f>IF(D94="","-",+C107+1)</f>
        <v>2021</v>
      </c>
      <c r="D108" s="349">
        <f>IF(F107+SUM(E$100:E107)=D$93,F107,D$93-SUM(E$100:E107))</f>
        <v>6080570.7008870225</v>
      </c>
      <c r="E108" s="629">
        <f t="shared" ref="E108:E155" si="29">IF(+$J$97&lt;F107,$J$97,D108)</f>
        <v>343348.04761904763</v>
      </c>
      <c r="F108" s="510">
        <f t="shared" ref="F108:F155" si="30">+D108-E108</f>
        <v>5737222.653267975</v>
      </c>
      <c r="G108" s="510">
        <f t="shared" ref="G108:G155" si="31">+(F108+D108)/2</f>
        <v>5908896.6770774983</v>
      </c>
      <c r="H108" s="630">
        <f t="shared" ref="H108:H155" si="32">+J$95*G108+E108</f>
        <v>1021445.7853684882</v>
      </c>
      <c r="I108" s="631">
        <f t="shared" ref="I108:I155" si="33">+J$96*G108+E108</f>
        <v>1021445.7853684882</v>
      </c>
      <c r="J108" s="504">
        <f t="shared" si="28"/>
        <v>0</v>
      </c>
      <c r="K108" s="504"/>
      <c r="L108" s="512"/>
      <c r="M108" s="504">
        <f t="shared" si="21"/>
        <v>0</v>
      </c>
      <c r="N108" s="512"/>
      <c r="O108" s="504">
        <f t="shared" si="22"/>
        <v>0</v>
      </c>
      <c r="P108" s="504">
        <f t="shared" si="23"/>
        <v>0</v>
      </c>
      <c r="Q108" s="243"/>
      <c r="R108" s="243"/>
      <c r="S108" s="243"/>
      <c r="T108" s="243"/>
      <c r="U108" s="243"/>
    </row>
    <row r="109" spans="1:21">
      <c r="B109" s="145" t="str">
        <f t="shared" si="24"/>
        <v/>
      </c>
      <c r="C109" s="495">
        <f>IF(D94="","-",+C108+1)</f>
        <v>2022</v>
      </c>
      <c r="D109" s="349">
        <f>IF(F108+SUM(E$100:E108)=D$93,F108,D$93-SUM(E$100:E108))</f>
        <v>5737222.653267975</v>
      </c>
      <c r="E109" s="629">
        <f t="shared" si="29"/>
        <v>343348.04761904763</v>
      </c>
      <c r="F109" s="510">
        <f t="shared" si="30"/>
        <v>5393874.6056489274</v>
      </c>
      <c r="G109" s="510">
        <f t="shared" si="31"/>
        <v>5565548.6294584516</v>
      </c>
      <c r="H109" s="630">
        <f t="shared" si="32"/>
        <v>982043.58440356702</v>
      </c>
      <c r="I109" s="631">
        <f t="shared" si="33"/>
        <v>982043.58440356702</v>
      </c>
      <c r="J109" s="504">
        <f t="shared" si="28"/>
        <v>0</v>
      </c>
      <c r="K109" s="504"/>
      <c r="L109" s="512"/>
      <c r="M109" s="504">
        <f t="shared" si="21"/>
        <v>0</v>
      </c>
      <c r="N109" s="512"/>
      <c r="O109" s="504">
        <f t="shared" si="22"/>
        <v>0</v>
      </c>
      <c r="P109" s="504">
        <f t="shared" si="23"/>
        <v>0</v>
      </c>
      <c r="Q109" s="243"/>
      <c r="R109" s="243"/>
      <c r="S109" s="243"/>
      <c r="T109" s="243"/>
      <c r="U109" s="243"/>
    </row>
    <row r="110" spans="1:21">
      <c r="B110" s="145" t="str">
        <f t="shared" si="24"/>
        <v/>
      </c>
      <c r="C110" s="495">
        <f>IF(D94="","-",+C109+1)</f>
        <v>2023</v>
      </c>
      <c r="D110" s="349">
        <f>IF(F109+SUM(E$100:E109)=D$93,F109,D$93-SUM(E$100:E109))</f>
        <v>5393874.6056489274</v>
      </c>
      <c r="E110" s="629">
        <f t="shared" si="29"/>
        <v>343348.04761904763</v>
      </c>
      <c r="F110" s="510">
        <f t="shared" si="30"/>
        <v>5050526.5580298798</v>
      </c>
      <c r="G110" s="510">
        <f t="shared" si="31"/>
        <v>5222200.5818394031</v>
      </c>
      <c r="H110" s="630">
        <f t="shared" si="32"/>
        <v>942641.3834386454</v>
      </c>
      <c r="I110" s="631">
        <f t="shared" si="33"/>
        <v>942641.3834386454</v>
      </c>
      <c r="J110" s="504">
        <f t="shared" si="28"/>
        <v>0</v>
      </c>
      <c r="K110" s="504"/>
      <c r="L110" s="512"/>
      <c r="M110" s="504">
        <f t="shared" si="21"/>
        <v>0</v>
      </c>
      <c r="N110" s="512"/>
      <c r="O110" s="504">
        <f t="shared" si="22"/>
        <v>0</v>
      </c>
      <c r="P110" s="504">
        <f t="shared" si="23"/>
        <v>0</v>
      </c>
      <c r="Q110" s="243"/>
      <c r="R110" s="243"/>
      <c r="S110" s="243"/>
      <c r="T110" s="243"/>
      <c r="U110" s="243"/>
    </row>
    <row r="111" spans="1:21">
      <c r="B111" s="145" t="str">
        <f t="shared" si="24"/>
        <v/>
      </c>
      <c r="C111" s="495">
        <f>IF(D94="","-",+C110+1)</f>
        <v>2024</v>
      </c>
      <c r="D111" s="349">
        <f>IF(F110+SUM(E$100:E110)=D$93,F110,D$93-SUM(E$100:E110))</f>
        <v>5050526.5580298798</v>
      </c>
      <c r="E111" s="629">
        <f t="shared" si="29"/>
        <v>343348.04761904763</v>
      </c>
      <c r="F111" s="510">
        <f t="shared" si="30"/>
        <v>4707178.5104108322</v>
      </c>
      <c r="G111" s="510">
        <f t="shared" si="31"/>
        <v>4878852.5342203565</v>
      </c>
      <c r="H111" s="630">
        <f t="shared" si="32"/>
        <v>903239.18247372424</v>
      </c>
      <c r="I111" s="631">
        <f t="shared" si="33"/>
        <v>903239.18247372424</v>
      </c>
      <c r="J111" s="504">
        <f t="shared" si="28"/>
        <v>0</v>
      </c>
      <c r="K111" s="504"/>
      <c r="L111" s="512"/>
      <c r="M111" s="504">
        <f t="shared" si="21"/>
        <v>0</v>
      </c>
      <c r="N111" s="512"/>
      <c r="O111" s="504">
        <f t="shared" si="22"/>
        <v>0</v>
      </c>
      <c r="P111" s="504">
        <f t="shared" si="23"/>
        <v>0</v>
      </c>
      <c r="Q111" s="243"/>
      <c r="R111" s="243"/>
      <c r="S111" s="243"/>
      <c r="T111" s="243"/>
      <c r="U111" s="243"/>
    </row>
    <row r="112" spans="1:21">
      <c r="B112" s="145" t="str">
        <f t="shared" si="24"/>
        <v/>
      </c>
      <c r="C112" s="495">
        <f>IF(D94="","-",+C111+1)</f>
        <v>2025</v>
      </c>
      <c r="D112" s="349">
        <f>IF(F111+SUM(E$100:E111)=D$93,F111,D$93-SUM(E$100:E111))</f>
        <v>4707178.5104108322</v>
      </c>
      <c r="E112" s="629">
        <f t="shared" si="29"/>
        <v>343348.04761904763</v>
      </c>
      <c r="F112" s="510">
        <f t="shared" si="30"/>
        <v>4363830.4627917847</v>
      </c>
      <c r="G112" s="510">
        <f t="shared" si="31"/>
        <v>4535504.486601308</v>
      </c>
      <c r="H112" s="630">
        <f t="shared" si="32"/>
        <v>863836.98150880286</v>
      </c>
      <c r="I112" s="631">
        <f t="shared" si="33"/>
        <v>863836.98150880286</v>
      </c>
      <c r="J112" s="504">
        <f t="shared" si="28"/>
        <v>0</v>
      </c>
      <c r="K112" s="504"/>
      <c r="L112" s="512"/>
      <c r="M112" s="504">
        <f t="shared" si="21"/>
        <v>0</v>
      </c>
      <c r="N112" s="512"/>
      <c r="O112" s="504">
        <f t="shared" si="22"/>
        <v>0</v>
      </c>
      <c r="P112" s="504">
        <f t="shared" si="23"/>
        <v>0</v>
      </c>
      <c r="Q112" s="243"/>
      <c r="R112" s="243"/>
      <c r="S112" s="243"/>
      <c r="T112" s="243"/>
      <c r="U112" s="243"/>
    </row>
    <row r="113" spans="2:21">
      <c r="B113" s="145" t="str">
        <f t="shared" si="24"/>
        <v/>
      </c>
      <c r="C113" s="495">
        <f>IF(D94="","-",+C112+1)</f>
        <v>2026</v>
      </c>
      <c r="D113" s="349">
        <f>IF(F112+SUM(E$100:E112)=D$93,F112,D$93-SUM(E$100:E112))</f>
        <v>4363830.4627917847</v>
      </c>
      <c r="E113" s="629">
        <f t="shared" si="29"/>
        <v>343348.04761904763</v>
      </c>
      <c r="F113" s="510">
        <f t="shared" si="30"/>
        <v>4020482.4151727371</v>
      </c>
      <c r="G113" s="510">
        <f t="shared" si="31"/>
        <v>4192156.4389822609</v>
      </c>
      <c r="H113" s="630">
        <f t="shared" si="32"/>
        <v>824434.78054388158</v>
      </c>
      <c r="I113" s="631">
        <f t="shared" si="33"/>
        <v>824434.78054388158</v>
      </c>
      <c r="J113" s="504">
        <f t="shared" si="28"/>
        <v>0</v>
      </c>
      <c r="K113" s="504"/>
      <c r="L113" s="512"/>
      <c r="M113" s="504">
        <f t="shared" si="21"/>
        <v>0</v>
      </c>
      <c r="N113" s="512"/>
      <c r="O113" s="504">
        <f t="shared" si="22"/>
        <v>0</v>
      </c>
      <c r="P113" s="504">
        <f t="shared" si="23"/>
        <v>0</v>
      </c>
      <c r="Q113" s="243"/>
      <c r="R113" s="243"/>
      <c r="S113" s="243"/>
      <c r="T113" s="243"/>
      <c r="U113" s="243"/>
    </row>
    <row r="114" spans="2:21">
      <c r="B114" s="145" t="str">
        <f t="shared" si="24"/>
        <v/>
      </c>
      <c r="C114" s="495">
        <f>IF(D94="","-",+C113+1)</f>
        <v>2027</v>
      </c>
      <c r="D114" s="349">
        <f>IF(F113+SUM(E$100:E113)=D$93,F113,D$93-SUM(E$100:E113))</f>
        <v>4020482.4151727371</v>
      </c>
      <c r="E114" s="629">
        <f t="shared" si="29"/>
        <v>343348.04761904763</v>
      </c>
      <c r="F114" s="510">
        <f t="shared" si="30"/>
        <v>3677134.3675536895</v>
      </c>
      <c r="G114" s="510">
        <f t="shared" si="31"/>
        <v>3848808.3913632133</v>
      </c>
      <c r="H114" s="630">
        <f t="shared" si="32"/>
        <v>785032.57957896031</v>
      </c>
      <c r="I114" s="631">
        <f t="shared" si="33"/>
        <v>785032.57957896031</v>
      </c>
      <c r="J114" s="504">
        <f t="shared" si="28"/>
        <v>0</v>
      </c>
      <c r="K114" s="504"/>
      <c r="L114" s="512"/>
      <c r="M114" s="504">
        <f t="shared" si="21"/>
        <v>0</v>
      </c>
      <c r="N114" s="512"/>
      <c r="O114" s="504">
        <f t="shared" si="22"/>
        <v>0</v>
      </c>
      <c r="P114" s="504">
        <f t="shared" si="23"/>
        <v>0</v>
      </c>
      <c r="Q114" s="243"/>
      <c r="R114" s="243"/>
      <c r="S114" s="243"/>
      <c r="T114" s="243"/>
      <c r="U114" s="243"/>
    </row>
    <row r="115" spans="2:21">
      <c r="B115" s="145" t="str">
        <f t="shared" si="24"/>
        <v/>
      </c>
      <c r="C115" s="495">
        <f>IF(D94="","-",+C114+1)</f>
        <v>2028</v>
      </c>
      <c r="D115" s="349">
        <f>IF(F114+SUM(E$100:E114)=D$93,F114,D$93-SUM(E$100:E114))</f>
        <v>3677134.3675536895</v>
      </c>
      <c r="E115" s="629">
        <f t="shared" si="29"/>
        <v>343348.04761904763</v>
      </c>
      <c r="F115" s="510">
        <f t="shared" si="30"/>
        <v>3333786.3199346419</v>
      </c>
      <c r="G115" s="510">
        <f t="shared" si="31"/>
        <v>3505460.3437441657</v>
      </c>
      <c r="H115" s="630">
        <f t="shared" si="32"/>
        <v>745630.37861403893</v>
      </c>
      <c r="I115" s="631">
        <f t="shared" si="33"/>
        <v>745630.37861403893</v>
      </c>
      <c r="J115" s="504">
        <f t="shared" si="28"/>
        <v>0</v>
      </c>
      <c r="K115" s="504"/>
      <c r="L115" s="512"/>
      <c r="M115" s="504">
        <f t="shared" si="21"/>
        <v>0</v>
      </c>
      <c r="N115" s="512"/>
      <c r="O115" s="504">
        <f t="shared" si="22"/>
        <v>0</v>
      </c>
      <c r="P115" s="504">
        <f t="shared" si="23"/>
        <v>0</v>
      </c>
      <c r="Q115" s="243"/>
      <c r="R115" s="243"/>
      <c r="S115" s="243"/>
      <c r="T115" s="243"/>
      <c r="U115" s="243"/>
    </row>
    <row r="116" spans="2:21">
      <c r="B116" s="145" t="str">
        <f t="shared" si="24"/>
        <v/>
      </c>
      <c r="C116" s="495">
        <f>IF(D94="","-",+C115+1)</f>
        <v>2029</v>
      </c>
      <c r="D116" s="349">
        <f>IF(F115+SUM(E$100:E115)=D$93,F115,D$93-SUM(E$100:E115))</f>
        <v>3333786.3199346419</v>
      </c>
      <c r="E116" s="629">
        <f t="shared" si="29"/>
        <v>343348.04761904763</v>
      </c>
      <c r="F116" s="510">
        <f t="shared" si="30"/>
        <v>2990438.2723155944</v>
      </c>
      <c r="G116" s="510">
        <f t="shared" si="31"/>
        <v>3162112.2961251182</v>
      </c>
      <c r="H116" s="630">
        <f t="shared" si="32"/>
        <v>706228.17764911766</v>
      </c>
      <c r="I116" s="631">
        <f t="shared" si="33"/>
        <v>706228.17764911766</v>
      </c>
      <c r="J116" s="504">
        <f t="shared" si="28"/>
        <v>0</v>
      </c>
      <c r="K116" s="504"/>
      <c r="L116" s="512"/>
      <c r="M116" s="504">
        <f t="shared" si="21"/>
        <v>0</v>
      </c>
      <c r="N116" s="512"/>
      <c r="O116" s="504">
        <f t="shared" si="22"/>
        <v>0</v>
      </c>
      <c r="P116" s="504">
        <f t="shared" si="23"/>
        <v>0</v>
      </c>
      <c r="Q116" s="243"/>
      <c r="R116" s="243"/>
      <c r="S116" s="243"/>
      <c r="T116" s="243"/>
      <c r="U116" s="243"/>
    </row>
    <row r="117" spans="2:21">
      <c r="B117" s="145" t="str">
        <f t="shared" si="24"/>
        <v/>
      </c>
      <c r="C117" s="495">
        <f>IF(D94="","-",+C116+1)</f>
        <v>2030</v>
      </c>
      <c r="D117" s="349">
        <f>IF(F116+SUM(E$100:E116)=D$93,F116,D$93-SUM(E$100:E116))</f>
        <v>2990438.2723155944</v>
      </c>
      <c r="E117" s="629">
        <f t="shared" si="29"/>
        <v>343348.04761904763</v>
      </c>
      <c r="F117" s="510">
        <f t="shared" si="30"/>
        <v>2647090.2246965468</v>
      </c>
      <c r="G117" s="510">
        <f t="shared" si="31"/>
        <v>2818764.2485060706</v>
      </c>
      <c r="H117" s="630">
        <f t="shared" si="32"/>
        <v>666825.97668419639</v>
      </c>
      <c r="I117" s="631">
        <f t="shared" si="33"/>
        <v>666825.97668419639</v>
      </c>
      <c r="J117" s="504">
        <f t="shared" si="28"/>
        <v>0</v>
      </c>
      <c r="K117" s="504"/>
      <c r="L117" s="512"/>
      <c r="M117" s="504">
        <f t="shared" si="21"/>
        <v>0</v>
      </c>
      <c r="N117" s="512"/>
      <c r="O117" s="504">
        <f t="shared" si="22"/>
        <v>0</v>
      </c>
      <c r="P117" s="504">
        <f t="shared" si="23"/>
        <v>0</v>
      </c>
      <c r="Q117" s="243"/>
      <c r="R117" s="243"/>
      <c r="S117" s="243"/>
      <c r="T117" s="243"/>
      <c r="U117" s="243"/>
    </row>
    <row r="118" spans="2:21">
      <c r="B118" s="145" t="str">
        <f t="shared" si="24"/>
        <v/>
      </c>
      <c r="C118" s="495">
        <f>IF(D94="","-",+C117+1)</f>
        <v>2031</v>
      </c>
      <c r="D118" s="349">
        <f>IF(F117+SUM(E$100:E117)=D$93,F117,D$93-SUM(E$100:E117))</f>
        <v>2647090.2246965468</v>
      </c>
      <c r="E118" s="629">
        <f t="shared" si="29"/>
        <v>343348.04761904763</v>
      </c>
      <c r="F118" s="510">
        <f t="shared" si="30"/>
        <v>2303742.1770774992</v>
      </c>
      <c r="G118" s="510">
        <f t="shared" si="31"/>
        <v>2475416.200887023</v>
      </c>
      <c r="H118" s="630">
        <f t="shared" si="32"/>
        <v>627423.775719275</v>
      </c>
      <c r="I118" s="631">
        <f t="shared" si="33"/>
        <v>627423.775719275</v>
      </c>
      <c r="J118" s="504">
        <f t="shared" si="28"/>
        <v>0</v>
      </c>
      <c r="K118" s="504"/>
      <c r="L118" s="512"/>
      <c r="M118" s="504">
        <f t="shared" si="21"/>
        <v>0</v>
      </c>
      <c r="N118" s="512"/>
      <c r="O118" s="504">
        <f t="shared" si="22"/>
        <v>0</v>
      </c>
      <c r="P118" s="504">
        <f t="shared" si="23"/>
        <v>0</v>
      </c>
      <c r="Q118" s="243"/>
      <c r="R118" s="243"/>
      <c r="S118" s="243"/>
      <c r="T118" s="243"/>
      <c r="U118" s="243"/>
    </row>
    <row r="119" spans="2:21">
      <c r="B119" s="145" t="str">
        <f t="shared" si="24"/>
        <v/>
      </c>
      <c r="C119" s="495">
        <f>IF(D94="","-",+C118+1)</f>
        <v>2032</v>
      </c>
      <c r="D119" s="349">
        <f>IF(F118+SUM(E$100:E118)=D$93,F118,D$93-SUM(E$100:E118))</f>
        <v>2303742.1770774992</v>
      </c>
      <c r="E119" s="629">
        <f t="shared" si="29"/>
        <v>343348.04761904763</v>
      </c>
      <c r="F119" s="510">
        <f t="shared" si="30"/>
        <v>1960394.1294584516</v>
      </c>
      <c r="G119" s="510">
        <f t="shared" si="31"/>
        <v>2132068.1532679754</v>
      </c>
      <c r="H119" s="630">
        <f t="shared" si="32"/>
        <v>588021.57475435373</v>
      </c>
      <c r="I119" s="631">
        <f t="shared" si="33"/>
        <v>588021.57475435373</v>
      </c>
      <c r="J119" s="504">
        <f t="shared" si="28"/>
        <v>0</v>
      </c>
      <c r="K119" s="504"/>
      <c r="L119" s="512"/>
      <c r="M119" s="504">
        <f t="shared" si="21"/>
        <v>0</v>
      </c>
      <c r="N119" s="512"/>
      <c r="O119" s="504">
        <f t="shared" si="22"/>
        <v>0</v>
      </c>
      <c r="P119" s="504">
        <f t="shared" si="23"/>
        <v>0</v>
      </c>
      <c r="Q119" s="243"/>
      <c r="R119" s="243"/>
      <c r="S119" s="243"/>
      <c r="T119" s="243"/>
      <c r="U119" s="243"/>
    </row>
    <row r="120" spans="2:21">
      <c r="B120" s="145" t="str">
        <f t="shared" si="24"/>
        <v/>
      </c>
      <c r="C120" s="495">
        <f>IF(D94="","-",+C119+1)</f>
        <v>2033</v>
      </c>
      <c r="D120" s="349">
        <f>IF(F119+SUM(E$100:E119)=D$93,F119,D$93-SUM(E$100:E119))</f>
        <v>1960394.1294584516</v>
      </c>
      <c r="E120" s="629">
        <f t="shared" si="29"/>
        <v>343348.04761904763</v>
      </c>
      <c r="F120" s="510">
        <f t="shared" si="30"/>
        <v>1617046.0818394041</v>
      </c>
      <c r="G120" s="510">
        <f t="shared" si="31"/>
        <v>1788720.1056489279</v>
      </c>
      <c r="H120" s="630">
        <f t="shared" si="32"/>
        <v>548619.37378943246</v>
      </c>
      <c r="I120" s="631">
        <f t="shared" si="33"/>
        <v>548619.37378943246</v>
      </c>
      <c r="J120" s="504">
        <f t="shared" si="28"/>
        <v>0</v>
      </c>
      <c r="K120" s="504"/>
      <c r="L120" s="512"/>
      <c r="M120" s="504">
        <f t="shared" si="21"/>
        <v>0</v>
      </c>
      <c r="N120" s="512"/>
      <c r="O120" s="504">
        <f t="shared" si="22"/>
        <v>0</v>
      </c>
      <c r="P120" s="504">
        <f t="shared" si="23"/>
        <v>0</v>
      </c>
      <c r="Q120" s="243"/>
      <c r="R120" s="243"/>
      <c r="S120" s="243"/>
      <c r="T120" s="243"/>
      <c r="U120" s="243"/>
    </row>
    <row r="121" spans="2:21">
      <c r="B121" s="145" t="str">
        <f t="shared" si="24"/>
        <v/>
      </c>
      <c r="C121" s="495">
        <f>IF(D94="","-",+C120+1)</f>
        <v>2034</v>
      </c>
      <c r="D121" s="349">
        <f>IF(F120+SUM(E$100:E120)=D$93,F120,D$93-SUM(E$100:E120))</f>
        <v>1617046.0818394041</v>
      </c>
      <c r="E121" s="629">
        <f t="shared" si="29"/>
        <v>343348.04761904763</v>
      </c>
      <c r="F121" s="510">
        <f t="shared" si="30"/>
        <v>1273698.0342203565</v>
      </c>
      <c r="G121" s="510">
        <f t="shared" si="31"/>
        <v>1445372.0580298803</v>
      </c>
      <c r="H121" s="630">
        <f t="shared" si="32"/>
        <v>509217.17282451113</v>
      </c>
      <c r="I121" s="631">
        <f t="shared" si="33"/>
        <v>509217.17282451113</v>
      </c>
      <c r="J121" s="504">
        <f t="shared" si="28"/>
        <v>0</v>
      </c>
      <c r="K121" s="504"/>
      <c r="L121" s="512"/>
      <c r="M121" s="504">
        <f t="shared" si="21"/>
        <v>0</v>
      </c>
      <c r="N121" s="512"/>
      <c r="O121" s="504">
        <f t="shared" si="22"/>
        <v>0</v>
      </c>
      <c r="P121" s="504">
        <f t="shared" si="23"/>
        <v>0</v>
      </c>
      <c r="Q121" s="243"/>
      <c r="R121" s="243"/>
      <c r="S121" s="243"/>
      <c r="T121" s="243"/>
      <c r="U121" s="243"/>
    </row>
    <row r="122" spans="2:21">
      <c r="B122" s="145" t="str">
        <f t="shared" si="24"/>
        <v/>
      </c>
      <c r="C122" s="495">
        <f>IF(D94="","-",+C121+1)</f>
        <v>2035</v>
      </c>
      <c r="D122" s="349">
        <f>IF(F121+SUM(E$100:E121)=D$93,F121,D$93-SUM(E$100:E121))</f>
        <v>1273698.0342203565</v>
      </c>
      <c r="E122" s="629">
        <f t="shared" si="29"/>
        <v>343348.04761904763</v>
      </c>
      <c r="F122" s="510">
        <f t="shared" si="30"/>
        <v>930349.98660130892</v>
      </c>
      <c r="G122" s="510">
        <f t="shared" si="31"/>
        <v>1102024.0104108327</v>
      </c>
      <c r="H122" s="630">
        <f t="shared" si="32"/>
        <v>469814.9718595898</v>
      </c>
      <c r="I122" s="631">
        <f t="shared" si="33"/>
        <v>469814.9718595898</v>
      </c>
      <c r="J122" s="504">
        <f t="shared" si="28"/>
        <v>0</v>
      </c>
      <c r="K122" s="504"/>
      <c r="L122" s="512"/>
      <c r="M122" s="504">
        <f t="shared" si="21"/>
        <v>0</v>
      </c>
      <c r="N122" s="512"/>
      <c r="O122" s="504">
        <f t="shared" si="22"/>
        <v>0</v>
      </c>
      <c r="P122" s="504">
        <f t="shared" si="23"/>
        <v>0</v>
      </c>
      <c r="Q122" s="243"/>
      <c r="R122" s="243"/>
      <c r="S122" s="243"/>
      <c r="T122" s="243"/>
      <c r="U122" s="243"/>
    </row>
    <row r="123" spans="2:21">
      <c r="B123" s="145" t="str">
        <f t="shared" si="24"/>
        <v/>
      </c>
      <c r="C123" s="495">
        <f>IF(D94="","-",+C122+1)</f>
        <v>2036</v>
      </c>
      <c r="D123" s="349">
        <f>IF(F122+SUM(E$100:E122)=D$93,F122,D$93-SUM(E$100:E122))</f>
        <v>930349.98660130892</v>
      </c>
      <c r="E123" s="629">
        <f t="shared" si="29"/>
        <v>343348.04761904763</v>
      </c>
      <c r="F123" s="510">
        <f t="shared" si="30"/>
        <v>587001.93898226134</v>
      </c>
      <c r="G123" s="510">
        <f t="shared" si="31"/>
        <v>758675.96279178513</v>
      </c>
      <c r="H123" s="630">
        <f t="shared" si="32"/>
        <v>430412.77089466853</v>
      </c>
      <c r="I123" s="631">
        <f t="shared" si="33"/>
        <v>430412.77089466853</v>
      </c>
      <c r="J123" s="504">
        <f t="shared" si="28"/>
        <v>0</v>
      </c>
      <c r="K123" s="504"/>
      <c r="L123" s="512"/>
      <c r="M123" s="504">
        <f t="shared" si="21"/>
        <v>0</v>
      </c>
      <c r="N123" s="512"/>
      <c r="O123" s="504">
        <f t="shared" si="22"/>
        <v>0</v>
      </c>
      <c r="P123" s="504">
        <f t="shared" si="23"/>
        <v>0</v>
      </c>
      <c r="Q123" s="243"/>
      <c r="R123" s="243"/>
      <c r="S123" s="243"/>
      <c r="T123" s="243"/>
      <c r="U123" s="243"/>
    </row>
    <row r="124" spans="2:21">
      <c r="B124" s="145" t="str">
        <f t="shared" si="24"/>
        <v/>
      </c>
      <c r="C124" s="495">
        <f>IF(D94="","-",+C123+1)</f>
        <v>2037</v>
      </c>
      <c r="D124" s="349">
        <f>IF(F123+SUM(E$100:E123)=D$93,F123,D$93-SUM(E$100:E123))</f>
        <v>587001.93898226134</v>
      </c>
      <c r="E124" s="629">
        <f t="shared" si="29"/>
        <v>343348.04761904763</v>
      </c>
      <c r="F124" s="510">
        <f t="shared" si="30"/>
        <v>243653.89136321371</v>
      </c>
      <c r="G124" s="510">
        <f t="shared" si="31"/>
        <v>415327.91517273756</v>
      </c>
      <c r="H124" s="630">
        <f t="shared" si="32"/>
        <v>391010.5699297472</v>
      </c>
      <c r="I124" s="631">
        <f t="shared" si="33"/>
        <v>391010.5699297472</v>
      </c>
      <c r="J124" s="504">
        <f t="shared" si="28"/>
        <v>0</v>
      </c>
      <c r="K124" s="504"/>
      <c r="L124" s="512"/>
      <c r="M124" s="504">
        <f t="shared" si="21"/>
        <v>0</v>
      </c>
      <c r="N124" s="512"/>
      <c r="O124" s="504">
        <f t="shared" si="22"/>
        <v>0</v>
      </c>
      <c r="P124" s="504">
        <f t="shared" si="23"/>
        <v>0</v>
      </c>
      <c r="Q124" s="243"/>
      <c r="R124" s="243"/>
      <c r="S124" s="243"/>
      <c r="T124" s="243"/>
      <c r="U124" s="243"/>
    </row>
    <row r="125" spans="2:21">
      <c r="B125" s="145" t="str">
        <f t="shared" si="24"/>
        <v/>
      </c>
      <c r="C125" s="495">
        <f>IF(D94="","-",+C124+1)</f>
        <v>2038</v>
      </c>
      <c r="D125" s="349">
        <f>IF(F124+SUM(E$100:E124)=D$93,F124,D$93-SUM(E$100:E124))</f>
        <v>243653.89136321371</v>
      </c>
      <c r="E125" s="629">
        <f t="shared" si="29"/>
        <v>243653.89136321371</v>
      </c>
      <c r="F125" s="510">
        <f t="shared" si="30"/>
        <v>0</v>
      </c>
      <c r="G125" s="510">
        <f t="shared" si="31"/>
        <v>121826.94568160686</v>
      </c>
      <c r="H125" s="630">
        <f t="shared" si="32"/>
        <v>257634.60227733318</v>
      </c>
      <c r="I125" s="631">
        <f t="shared" si="33"/>
        <v>257634.60227733318</v>
      </c>
      <c r="J125" s="504">
        <f t="shared" si="28"/>
        <v>0</v>
      </c>
      <c r="K125" s="504"/>
      <c r="L125" s="512"/>
      <c r="M125" s="504">
        <f t="shared" si="21"/>
        <v>0</v>
      </c>
      <c r="N125" s="512"/>
      <c r="O125" s="504">
        <f t="shared" si="22"/>
        <v>0</v>
      </c>
      <c r="P125" s="504">
        <f t="shared" si="23"/>
        <v>0</v>
      </c>
      <c r="Q125" s="243"/>
      <c r="R125" s="243"/>
      <c r="S125" s="243"/>
      <c r="T125" s="243"/>
      <c r="U125" s="243"/>
    </row>
    <row r="126" spans="2:21">
      <c r="B126" s="145" t="str">
        <f t="shared" si="24"/>
        <v/>
      </c>
      <c r="C126" s="495">
        <f>IF(D94="","-",+C125+1)</f>
        <v>2039</v>
      </c>
      <c r="D126" s="349">
        <f>IF(F125+SUM(E$100:E125)=D$93,F125,D$93-SUM(E$100:E125))</f>
        <v>0</v>
      </c>
      <c r="E126" s="629">
        <f t="shared" si="29"/>
        <v>0</v>
      </c>
      <c r="F126" s="510">
        <f t="shared" si="30"/>
        <v>0</v>
      </c>
      <c r="G126" s="510">
        <f t="shared" si="31"/>
        <v>0</v>
      </c>
      <c r="H126" s="630">
        <f t="shared" si="32"/>
        <v>0</v>
      </c>
      <c r="I126" s="631">
        <f t="shared" si="33"/>
        <v>0</v>
      </c>
      <c r="J126" s="504">
        <f t="shared" si="28"/>
        <v>0</v>
      </c>
      <c r="K126" s="504"/>
      <c r="L126" s="512"/>
      <c r="M126" s="504">
        <f t="shared" si="21"/>
        <v>0</v>
      </c>
      <c r="N126" s="512"/>
      <c r="O126" s="504">
        <f t="shared" si="22"/>
        <v>0</v>
      </c>
      <c r="P126" s="504">
        <f t="shared" si="23"/>
        <v>0</v>
      </c>
      <c r="Q126" s="243"/>
      <c r="R126" s="243"/>
      <c r="S126" s="243"/>
      <c r="T126" s="243"/>
      <c r="U126" s="243"/>
    </row>
    <row r="127" spans="2:21">
      <c r="B127" s="145" t="str">
        <f t="shared" si="24"/>
        <v/>
      </c>
      <c r="C127" s="495">
        <f>IF(D94="","-",+C126+1)</f>
        <v>2040</v>
      </c>
      <c r="D127" s="349">
        <f>IF(F126+SUM(E$100:E126)=D$93,F126,D$93-SUM(E$100:E126))</f>
        <v>0</v>
      </c>
      <c r="E127" s="629">
        <f t="shared" si="29"/>
        <v>0</v>
      </c>
      <c r="F127" s="510">
        <f t="shared" si="30"/>
        <v>0</v>
      </c>
      <c r="G127" s="510">
        <f t="shared" si="31"/>
        <v>0</v>
      </c>
      <c r="H127" s="630">
        <f t="shared" si="32"/>
        <v>0</v>
      </c>
      <c r="I127" s="631">
        <f t="shared" si="33"/>
        <v>0</v>
      </c>
      <c r="J127" s="504">
        <f t="shared" si="28"/>
        <v>0</v>
      </c>
      <c r="K127" s="504"/>
      <c r="L127" s="512"/>
      <c r="M127" s="504">
        <f t="shared" si="21"/>
        <v>0</v>
      </c>
      <c r="N127" s="512"/>
      <c r="O127" s="504">
        <f t="shared" si="22"/>
        <v>0</v>
      </c>
      <c r="P127" s="504">
        <f t="shared" si="23"/>
        <v>0</v>
      </c>
      <c r="Q127" s="243"/>
      <c r="R127" s="243"/>
      <c r="S127" s="243"/>
      <c r="T127" s="243"/>
      <c r="U127" s="243"/>
    </row>
    <row r="128" spans="2:21">
      <c r="B128" s="145" t="str">
        <f t="shared" si="24"/>
        <v/>
      </c>
      <c r="C128" s="495">
        <f>IF(D94="","-",+C127+1)</f>
        <v>2041</v>
      </c>
      <c r="D128" s="349">
        <f>IF(F127+SUM(E$100:E127)=D$93,F127,D$93-SUM(E$100:E127))</f>
        <v>0</v>
      </c>
      <c r="E128" s="629">
        <f t="shared" si="29"/>
        <v>0</v>
      </c>
      <c r="F128" s="510">
        <f t="shared" si="30"/>
        <v>0</v>
      </c>
      <c r="G128" s="510">
        <f t="shared" si="31"/>
        <v>0</v>
      </c>
      <c r="H128" s="630">
        <f t="shared" si="32"/>
        <v>0</v>
      </c>
      <c r="I128" s="631">
        <f t="shared" si="33"/>
        <v>0</v>
      </c>
      <c r="J128" s="504">
        <f t="shared" si="28"/>
        <v>0</v>
      </c>
      <c r="K128" s="504"/>
      <c r="L128" s="512"/>
      <c r="M128" s="504">
        <f t="shared" si="21"/>
        <v>0</v>
      </c>
      <c r="N128" s="512"/>
      <c r="O128" s="504">
        <f t="shared" si="22"/>
        <v>0</v>
      </c>
      <c r="P128" s="504">
        <f t="shared" si="23"/>
        <v>0</v>
      </c>
      <c r="Q128" s="243"/>
      <c r="R128" s="243"/>
      <c r="S128" s="243"/>
      <c r="T128" s="243"/>
      <c r="U128" s="243"/>
    </row>
    <row r="129" spans="2:21">
      <c r="B129" s="145" t="str">
        <f t="shared" si="24"/>
        <v/>
      </c>
      <c r="C129" s="495">
        <f>IF(D94="","-",+C128+1)</f>
        <v>2042</v>
      </c>
      <c r="D129" s="349">
        <f>IF(F128+SUM(E$100:E128)=D$93,F128,D$93-SUM(E$100:E128))</f>
        <v>0</v>
      </c>
      <c r="E129" s="629">
        <f t="shared" si="29"/>
        <v>0</v>
      </c>
      <c r="F129" s="510">
        <f t="shared" si="30"/>
        <v>0</v>
      </c>
      <c r="G129" s="510">
        <f t="shared" si="31"/>
        <v>0</v>
      </c>
      <c r="H129" s="630">
        <f t="shared" si="32"/>
        <v>0</v>
      </c>
      <c r="I129" s="631">
        <f t="shared" si="33"/>
        <v>0</v>
      </c>
      <c r="J129" s="504">
        <f t="shared" si="28"/>
        <v>0</v>
      </c>
      <c r="K129" s="504"/>
      <c r="L129" s="512"/>
      <c r="M129" s="504">
        <f t="shared" si="21"/>
        <v>0</v>
      </c>
      <c r="N129" s="512"/>
      <c r="O129" s="504">
        <f t="shared" si="22"/>
        <v>0</v>
      </c>
      <c r="P129" s="504">
        <f t="shared" si="23"/>
        <v>0</v>
      </c>
      <c r="Q129" s="243"/>
      <c r="R129" s="243"/>
      <c r="S129" s="243"/>
      <c r="T129" s="243"/>
      <c r="U129" s="243"/>
    </row>
    <row r="130" spans="2:21">
      <c r="B130" s="145" t="str">
        <f t="shared" si="24"/>
        <v/>
      </c>
      <c r="C130" s="495">
        <f>IF(D94="","-",+C129+1)</f>
        <v>2043</v>
      </c>
      <c r="D130" s="349">
        <f>IF(F129+SUM(E$100:E129)=D$93,F129,D$93-SUM(E$100:E129))</f>
        <v>0</v>
      </c>
      <c r="E130" s="629">
        <f t="shared" si="29"/>
        <v>0</v>
      </c>
      <c r="F130" s="510">
        <f t="shared" si="30"/>
        <v>0</v>
      </c>
      <c r="G130" s="510">
        <f t="shared" si="31"/>
        <v>0</v>
      </c>
      <c r="H130" s="630">
        <f t="shared" si="32"/>
        <v>0</v>
      </c>
      <c r="I130" s="631">
        <f t="shared" si="33"/>
        <v>0</v>
      </c>
      <c r="J130" s="504">
        <f t="shared" si="28"/>
        <v>0</v>
      </c>
      <c r="K130" s="504"/>
      <c r="L130" s="512"/>
      <c r="M130" s="504">
        <f t="shared" si="21"/>
        <v>0</v>
      </c>
      <c r="N130" s="512"/>
      <c r="O130" s="504">
        <f t="shared" si="22"/>
        <v>0</v>
      </c>
      <c r="P130" s="504">
        <f t="shared" si="23"/>
        <v>0</v>
      </c>
      <c r="Q130" s="243"/>
      <c r="R130" s="243"/>
      <c r="S130" s="243"/>
      <c r="T130" s="243"/>
      <c r="U130" s="243"/>
    </row>
    <row r="131" spans="2:21">
      <c r="B131" s="145" t="str">
        <f t="shared" si="24"/>
        <v/>
      </c>
      <c r="C131" s="495">
        <f>IF(D94="","-",+C130+1)</f>
        <v>2044</v>
      </c>
      <c r="D131" s="349">
        <f>IF(F130+SUM(E$100:E130)=D$93,F130,D$93-SUM(E$100:E130))</f>
        <v>0</v>
      </c>
      <c r="E131" s="629">
        <f t="shared" si="29"/>
        <v>0</v>
      </c>
      <c r="F131" s="510">
        <f t="shared" si="30"/>
        <v>0</v>
      </c>
      <c r="G131" s="510">
        <f t="shared" si="31"/>
        <v>0</v>
      </c>
      <c r="H131" s="630">
        <f t="shared" si="32"/>
        <v>0</v>
      </c>
      <c r="I131" s="631">
        <f t="shared" si="33"/>
        <v>0</v>
      </c>
      <c r="J131" s="504">
        <f t="shared" si="28"/>
        <v>0</v>
      </c>
      <c r="K131" s="504"/>
      <c r="L131" s="512"/>
      <c r="M131" s="504">
        <f t="shared" si="21"/>
        <v>0</v>
      </c>
      <c r="N131" s="512"/>
      <c r="O131" s="504">
        <f t="shared" si="22"/>
        <v>0</v>
      </c>
      <c r="P131" s="504">
        <f t="shared" si="23"/>
        <v>0</v>
      </c>
      <c r="Q131" s="243"/>
      <c r="R131" s="243"/>
      <c r="S131" s="243"/>
      <c r="T131" s="243"/>
      <c r="U131" s="243"/>
    </row>
    <row r="132" spans="2:21">
      <c r="B132" s="145" t="str">
        <f t="shared" si="24"/>
        <v/>
      </c>
      <c r="C132" s="495">
        <f>IF(D94="","-",+C131+1)</f>
        <v>2045</v>
      </c>
      <c r="D132" s="349">
        <f>IF(F131+SUM(E$100:E131)=D$93,F131,D$93-SUM(E$100:E131))</f>
        <v>0</v>
      </c>
      <c r="E132" s="629">
        <f t="shared" si="29"/>
        <v>0</v>
      </c>
      <c r="F132" s="510">
        <f t="shared" si="30"/>
        <v>0</v>
      </c>
      <c r="G132" s="510">
        <f t="shared" si="31"/>
        <v>0</v>
      </c>
      <c r="H132" s="630">
        <f t="shared" si="32"/>
        <v>0</v>
      </c>
      <c r="I132" s="631">
        <f t="shared" si="33"/>
        <v>0</v>
      </c>
      <c r="J132" s="504">
        <f t="shared" si="28"/>
        <v>0</v>
      </c>
      <c r="K132" s="504"/>
      <c r="L132" s="512"/>
      <c r="M132" s="504">
        <f t="shared" ref="M132:M155" si="34">IF(L542&lt;&gt;0,+H542-L542,0)</f>
        <v>0</v>
      </c>
      <c r="N132" s="512"/>
      <c r="O132" s="504">
        <f t="shared" ref="O132:O155" si="35">IF(N542&lt;&gt;0,+I542-N542,0)</f>
        <v>0</v>
      </c>
      <c r="P132" s="504">
        <f t="shared" ref="P132:P155" si="36">+O542-M542</f>
        <v>0</v>
      </c>
      <c r="Q132" s="243"/>
      <c r="R132" s="243"/>
      <c r="S132" s="243"/>
      <c r="T132" s="243"/>
      <c r="U132" s="243"/>
    </row>
    <row r="133" spans="2:21">
      <c r="B133" s="145" t="str">
        <f t="shared" si="24"/>
        <v/>
      </c>
      <c r="C133" s="495">
        <f>IF(D94="","-",+C132+1)</f>
        <v>2046</v>
      </c>
      <c r="D133" s="349">
        <f>IF(F132+SUM(E$100:E132)=D$93,F132,D$93-SUM(E$100:E132))</f>
        <v>0</v>
      </c>
      <c r="E133" s="629">
        <f t="shared" si="29"/>
        <v>0</v>
      </c>
      <c r="F133" s="510">
        <f t="shared" si="30"/>
        <v>0</v>
      </c>
      <c r="G133" s="510">
        <f t="shared" si="31"/>
        <v>0</v>
      </c>
      <c r="H133" s="630">
        <f t="shared" si="32"/>
        <v>0</v>
      </c>
      <c r="I133" s="631">
        <f t="shared" si="33"/>
        <v>0</v>
      </c>
      <c r="J133" s="504">
        <f t="shared" si="28"/>
        <v>0</v>
      </c>
      <c r="K133" s="504"/>
      <c r="L133" s="512"/>
      <c r="M133" s="504">
        <f t="shared" si="34"/>
        <v>0</v>
      </c>
      <c r="N133" s="512"/>
      <c r="O133" s="504">
        <f t="shared" si="35"/>
        <v>0</v>
      </c>
      <c r="P133" s="504">
        <f t="shared" si="36"/>
        <v>0</v>
      </c>
      <c r="Q133" s="243"/>
      <c r="R133" s="243"/>
      <c r="S133" s="243"/>
      <c r="T133" s="243"/>
      <c r="U133" s="243"/>
    </row>
    <row r="134" spans="2:21">
      <c r="B134" s="145" t="str">
        <f t="shared" si="24"/>
        <v/>
      </c>
      <c r="C134" s="495">
        <f>IF(D94="","-",+C133+1)</f>
        <v>2047</v>
      </c>
      <c r="D134" s="349">
        <f>IF(F133+SUM(E$100:E133)=D$93,F133,D$93-SUM(E$100:E133))</f>
        <v>0</v>
      </c>
      <c r="E134" s="629">
        <f t="shared" si="29"/>
        <v>0</v>
      </c>
      <c r="F134" s="510">
        <f t="shared" si="30"/>
        <v>0</v>
      </c>
      <c r="G134" s="510">
        <f t="shared" si="31"/>
        <v>0</v>
      </c>
      <c r="H134" s="630">
        <f t="shared" si="32"/>
        <v>0</v>
      </c>
      <c r="I134" s="631">
        <f t="shared" si="33"/>
        <v>0</v>
      </c>
      <c r="J134" s="504">
        <f t="shared" si="28"/>
        <v>0</v>
      </c>
      <c r="K134" s="504"/>
      <c r="L134" s="512"/>
      <c r="M134" s="504">
        <f t="shared" si="34"/>
        <v>0</v>
      </c>
      <c r="N134" s="512"/>
      <c r="O134" s="504">
        <f t="shared" si="35"/>
        <v>0</v>
      </c>
      <c r="P134" s="504">
        <f t="shared" si="36"/>
        <v>0</v>
      </c>
      <c r="Q134" s="243"/>
      <c r="R134" s="243"/>
      <c r="S134" s="243"/>
      <c r="T134" s="243"/>
      <c r="U134" s="243"/>
    </row>
    <row r="135" spans="2:21">
      <c r="B135" s="145" t="str">
        <f t="shared" si="24"/>
        <v/>
      </c>
      <c r="C135" s="495">
        <f>IF(D94="","-",+C134+1)</f>
        <v>2048</v>
      </c>
      <c r="D135" s="349">
        <f>IF(F134+SUM(E$100:E134)=D$93,F134,D$93-SUM(E$100:E134))</f>
        <v>0</v>
      </c>
      <c r="E135" s="629">
        <f t="shared" si="29"/>
        <v>0</v>
      </c>
      <c r="F135" s="510">
        <f t="shared" si="30"/>
        <v>0</v>
      </c>
      <c r="G135" s="510">
        <f t="shared" si="31"/>
        <v>0</v>
      </c>
      <c r="H135" s="630">
        <f t="shared" si="32"/>
        <v>0</v>
      </c>
      <c r="I135" s="631">
        <f t="shared" si="33"/>
        <v>0</v>
      </c>
      <c r="J135" s="504">
        <f t="shared" si="28"/>
        <v>0</v>
      </c>
      <c r="K135" s="504"/>
      <c r="L135" s="512"/>
      <c r="M135" s="504">
        <f t="shared" si="34"/>
        <v>0</v>
      </c>
      <c r="N135" s="512"/>
      <c r="O135" s="504">
        <f t="shared" si="35"/>
        <v>0</v>
      </c>
      <c r="P135" s="504">
        <f t="shared" si="36"/>
        <v>0</v>
      </c>
      <c r="Q135" s="243"/>
      <c r="R135" s="243"/>
      <c r="S135" s="243"/>
      <c r="T135" s="243"/>
      <c r="U135" s="243"/>
    </row>
    <row r="136" spans="2:21">
      <c r="B136" s="145" t="str">
        <f t="shared" si="24"/>
        <v/>
      </c>
      <c r="C136" s="495">
        <f>IF(D94="","-",+C135+1)</f>
        <v>2049</v>
      </c>
      <c r="D136" s="349">
        <f>IF(F135+SUM(E$100:E135)=D$93,F135,D$93-SUM(E$100:E135))</f>
        <v>0</v>
      </c>
      <c r="E136" s="629">
        <f t="shared" si="29"/>
        <v>0</v>
      </c>
      <c r="F136" s="510">
        <f t="shared" si="30"/>
        <v>0</v>
      </c>
      <c r="G136" s="510">
        <f t="shared" si="31"/>
        <v>0</v>
      </c>
      <c r="H136" s="630">
        <f t="shared" si="32"/>
        <v>0</v>
      </c>
      <c r="I136" s="631">
        <f t="shared" si="33"/>
        <v>0</v>
      </c>
      <c r="J136" s="504">
        <f t="shared" si="28"/>
        <v>0</v>
      </c>
      <c r="K136" s="504"/>
      <c r="L136" s="512"/>
      <c r="M136" s="504">
        <f t="shared" si="34"/>
        <v>0</v>
      </c>
      <c r="N136" s="512"/>
      <c r="O136" s="504">
        <f t="shared" si="35"/>
        <v>0</v>
      </c>
      <c r="P136" s="504">
        <f t="shared" si="36"/>
        <v>0</v>
      </c>
      <c r="Q136" s="243"/>
      <c r="R136" s="243"/>
      <c r="S136" s="243"/>
      <c r="T136" s="243"/>
      <c r="U136" s="243"/>
    </row>
    <row r="137" spans="2:21">
      <c r="B137" s="145" t="str">
        <f t="shared" si="24"/>
        <v/>
      </c>
      <c r="C137" s="495">
        <f>IF(D94="","-",+C136+1)</f>
        <v>2050</v>
      </c>
      <c r="D137" s="349">
        <f>IF(F136+SUM(E$100:E136)=D$93,F136,D$93-SUM(E$100:E136))</f>
        <v>0</v>
      </c>
      <c r="E137" s="629">
        <f t="shared" si="29"/>
        <v>0</v>
      </c>
      <c r="F137" s="510">
        <f t="shared" si="30"/>
        <v>0</v>
      </c>
      <c r="G137" s="510">
        <f t="shared" si="31"/>
        <v>0</v>
      </c>
      <c r="H137" s="630">
        <f t="shared" si="32"/>
        <v>0</v>
      </c>
      <c r="I137" s="631">
        <f t="shared" si="33"/>
        <v>0</v>
      </c>
      <c r="J137" s="504">
        <f t="shared" si="28"/>
        <v>0</v>
      </c>
      <c r="K137" s="504"/>
      <c r="L137" s="512"/>
      <c r="M137" s="504">
        <f t="shared" si="34"/>
        <v>0</v>
      </c>
      <c r="N137" s="512"/>
      <c r="O137" s="504">
        <f t="shared" si="35"/>
        <v>0</v>
      </c>
      <c r="P137" s="504">
        <f t="shared" si="36"/>
        <v>0</v>
      </c>
      <c r="Q137" s="243"/>
      <c r="R137" s="243"/>
      <c r="S137" s="243"/>
      <c r="T137" s="243"/>
      <c r="U137" s="243"/>
    </row>
    <row r="138" spans="2:21">
      <c r="B138" s="145" t="str">
        <f t="shared" si="24"/>
        <v/>
      </c>
      <c r="C138" s="495">
        <f>IF(D94="","-",+C137+1)</f>
        <v>2051</v>
      </c>
      <c r="D138" s="349">
        <f>IF(F137+SUM(E$100:E137)=D$93,F137,D$93-SUM(E$100:E137))</f>
        <v>0</v>
      </c>
      <c r="E138" s="629">
        <f t="shared" si="29"/>
        <v>0</v>
      </c>
      <c r="F138" s="510">
        <f t="shared" si="30"/>
        <v>0</v>
      </c>
      <c r="G138" s="510">
        <f t="shared" si="31"/>
        <v>0</v>
      </c>
      <c r="H138" s="630">
        <f t="shared" si="32"/>
        <v>0</v>
      </c>
      <c r="I138" s="631">
        <f t="shared" si="33"/>
        <v>0</v>
      </c>
      <c r="J138" s="504">
        <f t="shared" si="28"/>
        <v>0</v>
      </c>
      <c r="K138" s="504"/>
      <c r="L138" s="512"/>
      <c r="M138" s="504">
        <f t="shared" si="34"/>
        <v>0</v>
      </c>
      <c r="N138" s="512"/>
      <c r="O138" s="504">
        <f t="shared" si="35"/>
        <v>0</v>
      </c>
      <c r="P138" s="504">
        <f t="shared" si="36"/>
        <v>0</v>
      </c>
      <c r="Q138" s="243"/>
      <c r="R138" s="243"/>
      <c r="S138" s="243"/>
      <c r="T138" s="243"/>
      <c r="U138" s="243"/>
    </row>
    <row r="139" spans="2:21">
      <c r="B139" s="145" t="str">
        <f t="shared" si="24"/>
        <v/>
      </c>
      <c r="C139" s="495">
        <f>IF(D94="","-",+C138+1)</f>
        <v>2052</v>
      </c>
      <c r="D139" s="349">
        <f>IF(F138+SUM(E$100:E138)=D$93,F138,D$93-SUM(E$100:E138))</f>
        <v>0</v>
      </c>
      <c r="E139" s="629">
        <f t="shared" si="29"/>
        <v>0</v>
      </c>
      <c r="F139" s="510">
        <f t="shared" si="30"/>
        <v>0</v>
      </c>
      <c r="G139" s="510">
        <f t="shared" si="31"/>
        <v>0</v>
      </c>
      <c r="H139" s="630">
        <f t="shared" si="32"/>
        <v>0</v>
      </c>
      <c r="I139" s="631">
        <f t="shared" si="33"/>
        <v>0</v>
      </c>
      <c r="J139" s="504">
        <f t="shared" si="28"/>
        <v>0</v>
      </c>
      <c r="K139" s="504"/>
      <c r="L139" s="512"/>
      <c r="M139" s="504">
        <f t="shared" si="34"/>
        <v>0</v>
      </c>
      <c r="N139" s="512"/>
      <c r="O139" s="504">
        <f t="shared" si="35"/>
        <v>0</v>
      </c>
      <c r="P139" s="504">
        <f t="shared" si="36"/>
        <v>0</v>
      </c>
      <c r="Q139" s="243"/>
      <c r="R139" s="243"/>
      <c r="S139" s="243"/>
      <c r="T139" s="243"/>
      <c r="U139" s="243"/>
    </row>
    <row r="140" spans="2:21">
      <c r="B140" s="145" t="str">
        <f t="shared" si="24"/>
        <v/>
      </c>
      <c r="C140" s="495">
        <f>IF(D94="","-",+C139+1)</f>
        <v>2053</v>
      </c>
      <c r="D140" s="349">
        <f>IF(F139+SUM(E$100:E139)=D$93,F139,D$93-SUM(E$100:E139))</f>
        <v>0</v>
      </c>
      <c r="E140" s="629">
        <f t="shared" si="29"/>
        <v>0</v>
      </c>
      <c r="F140" s="510">
        <f t="shared" si="30"/>
        <v>0</v>
      </c>
      <c r="G140" s="510">
        <f t="shared" si="31"/>
        <v>0</v>
      </c>
      <c r="H140" s="630">
        <f t="shared" si="32"/>
        <v>0</v>
      </c>
      <c r="I140" s="631">
        <f t="shared" si="33"/>
        <v>0</v>
      </c>
      <c r="J140" s="504">
        <f t="shared" si="28"/>
        <v>0</v>
      </c>
      <c r="K140" s="504"/>
      <c r="L140" s="512"/>
      <c r="M140" s="504">
        <f t="shared" si="34"/>
        <v>0</v>
      </c>
      <c r="N140" s="512"/>
      <c r="O140" s="504">
        <f t="shared" si="35"/>
        <v>0</v>
      </c>
      <c r="P140" s="504">
        <f t="shared" si="36"/>
        <v>0</v>
      </c>
      <c r="Q140" s="243"/>
      <c r="R140" s="243"/>
      <c r="S140" s="243"/>
      <c r="T140" s="243"/>
      <c r="U140" s="243"/>
    </row>
    <row r="141" spans="2:21">
      <c r="B141" s="145" t="str">
        <f t="shared" si="24"/>
        <v/>
      </c>
      <c r="C141" s="495">
        <f>IF(D94="","-",+C140+1)</f>
        <v>2054</v>
      </c>
      <c r="D141" s="349">
        <f>IF(F140+SUM(E$100:E140)=D$93,F140,D$93-SUM(E$100:E140))</f>
        <v>0</v>
      </c>
      <c r="E141" s="629">
        <f t="shared" si="29"/>
        <v>0</v>
      </c>
      <c r="F141" s="510">
        <f t="shared" si="30"/>
        <v>0</v>
      </c>
      <c r="G141" s="510">
        <f t="shared" si="31"/>
        <v>0</v>
      </c>
      <c r="H141" s="630">
        <f t="shared" si="32"/>
        <v>0</v>
      </c>
      <c r="I141" s="631">
        <f t="shared" si="33"/>
        <v>0</v>
      </c>
      <c r="J141" s="504">
        <f t="shared" si="28"/>
        <v>0</v>
      </c>
      <c r="K141" s="504"/>
      <c r="L141" s="512"/>
      <c r="M141" s="504">
        <f t="shared" si="34"/>
        <v>0</v>
      </c>
      <c r="N141" s="512"/>
      <c r="O141" s="504">
        <f t="shared" si="35"/>
        <v>0</v>
      </c>
      <c r="P141" s="504">
        <f t="shared" si="36"/>
        <v>0</v>
      </c>
      <c r="Q141" s="243"/>
      <c r="R141" s="243"/>
      <c r="S141" s="243"/>
      <c r="T141" s="243"/>
      <c r="U141" s="243"/>
    </row>
    <row r="142" spans="2:21">
      <c r="B142" s="145" t="str">
        <f t="shared" si="24"/>
        <v/>
      </c>
      <c r="C142" s="495">
        <f>IF(D94="","-",+C141+1)</f>
        <v>2055</v>
      </c>
      <c r="D142" s="349">
        <f>IF(F141+SUM(E$100:E141)=D$93,F141,D$93-SUM(E$100:E141))</f>
        <v>0</v>
      </c>
      <c r="E142" s="629">
        <f t="shared" si="29"/>
        <v>0</v>
      </c>
      <c r="F142" s="510">
        <f t="shared" si="30"/>
        <v>0</v>
      </c>
      <c r="G142" s="510">
        <f t="shared" si="31"/>
        <v>0</v>
      </c>
      <c r="H142" s="630">
        <f t="shared" si="32"/>
        <v>0</v>
      </c>
      <c r="I142" s="631">
        <f t="shared" si="33"/>
        <v>0</v>
      </c>
      <c r="J142" s="504">
        <f t="shared" si="28"/>
        <v>0</v>
      </c>
      <c r="K142" s="504"/>
      <c r="L142" s="512"/>
      <c r="M142" s="504">
        <f t="shared" si="34"/>
        <v>0</v>
      </c>
      <c r="N142" s="512"/>
      <c r="O142" s="504">
        <f t="shared" si="35"/>
        <v>0</v>
      </c>
      <c r="P142" s="504">
        <f t="shared" si="36"/>
        <v>0</v>
      </c>
      <c r="Q142" s="243"/>
      <c r="R142" s="243"/>
      <c r="S142" s="243"/>
      <c r="T142" s="243"/>
      <c r="U142" s="243"/>
    </row>
    <row r="143" spans="2:21">
      <c r="B143" s="145" t="str">
        <f t="shared" si="24"/>
        <v/>
      </c>
      <c r="C143" s="495">
        <f>IF(D94="","-",+C142+1)</f>
        <v>2056</v>
      </c>
      <c r="D143" s="349">
        <f>IF(F142+SUM(E$100:E142)=D$93,F142,D$93-SUM(E$100:E142))</f>
        <v>0</v>
      </c>
      <c r="E143" s="629">
        <f t="shared" si="29"/>
        <v>0</v>
      </c>
      <c r="F143" s="510">
        <f t="shared" si="30"/>
        <v>0</v>
      </c>
      <c r="G143" s="510">
        <f t="shared" si="31"/>
        <v>0</v>
      </c>
      <c r="H143" s="630">
        <f t="shared" si="32"/>
        <v>0</v>
      </c>
      <c r="I143" s="631">
        <f t="shared" si="33"/>
        <v>0</v>
      </c>
      <c r="J143" s="504">
        <f t="shared" si="28"/>
        <v>0</v>
      </c>
      <c r="K143" s="504"/>
      <c r="L143" s="512"/>
      <c r="M143" s="504">
        <f t="shared" si="34"/>
        <v>0</v>
      </c>
      <c r="N143" s="512"/>
      <c r="O143" s="504">
        <f t="shared" si="35"/>
        <v>0</v>
      </c>
      <c r="P143" s="504">
        <f t="shared" si="36"/>
        <v>0</v>
      </c>
      <c r="Q143" s="243"/>
      <c r="R143" s="243"/>
      <c r="S143" s="243"/>
      <c r="T143" s="243"/>
      <c r="U143" s="243"/>
    </row>
    <row r="144" spans="2:21">
      <c r="B144" s="145" t="str">
        <f t="shared" si="24"/>
        <v/>
      </c>
      <c r="C144" s="495">
        <f>IF(D94="","-",+C143+1)</f>
        <v>2057</v>
      </c>
      <c r="D144" s="349">
        <f>IF(F143+SUM(E$100:E143)=D$93,F143,D$93-SUM(E$100:E143))</f>
        <v>0</v>
      </c>
      <c r="E144" s="629">
        <f t="shared" si="29"/>
        <v>0</v>
      </c>
      <c r="F144" s="510">
        <f t="shared" si="30"/>
        <v>0</v>
      </c>
      <c r="G144" s="510">
        <f t="shared" si="31"/>
        <v>0</v>
      </c>
      <c r="H144" s="630">
        <f t="shared" si="32"/>
        <v>0</v>
      </c>
      <c r="I144" s="631">
        <f t="shared" si="33"/>
        <v>0</v>
      </c>
      <c r="J144" s="504">
        <f t="shared" si="28"/>
        <v>0</v>
      </c>
      <c r="K144" s="504"/>
      <c r="L144" s="512"/>
      <c r="M144" s="504">
        <f t="shared" si="34"/>
        <v>0</v>
      </c>
      <c r="N144" s="512"/>
      <c r="O144" s="504">
        <f t="shared" si="35"/>
        <v>0</v>
      </c>
      <c r="P144" s="504">
        <f t="shared" si="36"/>
        <v>0</v>
      </c>
      <c r="Q144" s="243"/>
      <c r="R144" s="243"/>
      <c r="S144" s="243"/>
      <c r="T144" s="243"/>
      <c r="U144" s="243"/>
    </row>
    <row r="145" spans="2:21">
      <c r="B145" s="145" t="str">
        <f t="shared" si="24"/>
        <v/>
      </c>
      <c r="C145" s="495">
        <f>IF(D94="","-",+C144+1)</f>
        <v>2058</v>
      </c>
      <c r="D145" s="349">
        <f>IF(F144+SUM(E$100:E144)=D$93,F144,D$93-SUM(E$100:E144))</f>
        <v>0</v>
      </c>
      <c r="E145" s="629">
        <f t="shared" si="29"/>
        <v>0</v>
      </c>
      <c r="F145" s="510">
        <f t="shared" si="30"/>
        <v>0</v>
      </c>
      <c r="G145" s="510">
        <f t="shared" si="31"/>
        <v>0</v>
      </c>
      <c r="H145" s="630">
        <f t="shared" si="32"/>
        <v>0</v>
      </c>
      <c r="I145" s="631">
        <f t="shared" si="33"/>
        <v>0</v>
      </c>
      <c r="J145" s="504">
        <f t="shared" si="28"/>
        <v>0</v>
      </c>
      <c r="K145" s="504"/>
      <c r="L145" s="512"/>
      <c r="M145" s="504">
        <f t="shared" si="34"/>
        <v>0</v>
      </c>
      <c r="N145" s="512"/>
      <c r="O145" s="504">
        <f t="shared" si="35"/>
        <v>0</v>
      </c>
      <c r="P145" s="504">
        <f t="shared" si="36"/>
        <v>0</v>
      </c>
      <c r="Q145" s="243"/>
      <c r="R145" s="243"/>
      <c r="S145" s="243"/>
      <c r="T145" s="243"/>
      <c r="U145" s="243"/>
    </row>
    <row r="146" spans="2:21">
      <c r="B146" s="145" t="str">
        <f t="shared" si="24"/>
        <v/>
      </c>
      <c r="C146" s="495">
        <f>IF(D94="","-",+C145+1)</f>
        <v>2059</v>
      </c>
      <c r="D146" s="349">
        <f>IF(F145+SUM(E$100:E145)=D$93,F145,D$93-SUM(E$100:E145))</f>
        <v>0</v>
      </c>
      <c r="E146" s="629">
        <f t="shared" si="29"/>
        <v>0</v>
      </c>
      <c r="F146" s="510">
        <f t="shared" si="30"/>
        <v>0</v>
      </c>
      <c r="G146" s="510">
        <f t="shared" si="31"/>
        <v>0</v>
      </c>
      <c r="H146" s="630">
        <f t="shared" si="32"/>
        <v>0</v>
      </c>
      <c r="I146" s="631">
        <f t="shared" si="33"/>
        <v>0</v>
      </c>
      <c r="J146" s="504">
        <f t="shared" si="28"/>
        <v>0</v>
      </c>
      <c r="K146" s="504"/>
      <c r="L146" s="512"/>
      <c r="M146" s="504">
        <f t="shared" si="34"/>
        <v>0</v>
      </c>
      <c r="N146" s="512"/>
      <c r="O146" s="504">
        <f t="shared" si="35"/>
        <v>0</v>
      </c>
      <c r="P146" s="504">
        <f t="shared" si="36"/>
        <v>0</v>
      </c>
      <c r="Q146" s="243"/>
      <c r="R146" s="243"/>
      <c r="S146" s="243"/>
      <c r="T146" s="243"/>
      <c r="U146" s="243"/>
    </row>
    <row r="147" spans="2:21">
      <c r="B147" s="145" t="str">
        <f t="shared" si="24"/>
        <v/>
      </c>
      <c r="C147" s="495">
        <f>IF(D94="","-",+C146+1)</f>
        <v>2060</v>
      </c>
      <c r="D147" s="349">
        <f>IF(F146+SUM(E$100:E146)=D$93,F146,D$93-SUM(E$100:E146))</f>
        <v>0</v>
      </c>
      <c r="E147" s="629">
        <f t="shared" si="29"/>
        <v>0</v>
      </c>
      <c r="F147" s="510">
        <f t="shared" si="30"/>
        <v>0</v>
      </c>
      <c r="G147" s="510">
        <f t="shared" si="31"/>
        <v>0</v>
      </c>
      <c r="H147" s="630">
        <f t="shared" si="32"/>
        <v>0</v>
      </c>
      <c r="I147" s="631">
        <f t="shared" si="33"/>
        <v>0</v>
      </c>
      <c r="J147" s="504">
        <f t="shared" si="28"/>
        <v>0</v>
      </c>
      <c r="K147" s="504"/>
      <c r="L147" s="512"/>
      <c r="M147" s="504">
        <f t="shared" si="34"/>
        <v>0</v>
      </c>
      <c r="N147" s="512"/>
      <c r="O147" s="504">
        <f t="shared" si="35"/>
        <v>0</v>
      </c>
      <c r="P147" s="504">
        <f t="shared" si="36"/>
        <v>0</v>
      </c>
      <c r="Q147" s="243"/>
      <c r="R147" s="243"/>
      <c r="S147" s="243"/>
      <c r="T147" s="243"/>
      <c r="U147" s="243"/>
    </row>
    <row r="148" spans="2:21">
      <c r="B148" s="145" t="str">
        <f t="shared" si="24"/>
        <v/>
      </c>
      <c r="C148" s="495">
        <f>IF(D94="","-",+C147+1)</f>
        <v>2061</v>
      </c>
      <c r="D148" s="349">
        <f>IF(F147+SUM(E$100:E147)=D$93,F147,D$93-SUM(E$100:E147))</f>
        <v>0</v>
      </c>
      <c r="E148" s="629">
        <f t="shared" si="29"/>
        <v>0</v>
      </c>
      <c r="F148" s="510">
        <f t="shared" si="30"/>
        <v>0</v>
      </c>
      <c r="G148" s="510">
        <f t="shared" si="31"/>
        <v>0</v>
      </c>
      <c r="H148" s="630">
        <f t="shared" si="32"/>
        <v>0</v>
      </c>
      <c r="I148" s="631">
        <f t="shared" si="33"/>
        <v>0</v>
      </c>
      <c r="J148" s="504">
        <f t="shared" si="28"/>
        <v>0</v>
      </c>
      <c r="K148" s="504"/>
      <c r="L148" s="512"/>
      <c r="M148" s="504">
        <f t="shared" si="34"/>
        <v>0</v>
      </c>
      <c r="N148" s="512"/>
      <c r="O148" s="504">
        <f t="shared" si="35"/>
        <v>0</v>
      </c>
      <c r="P148" s="504">
        <f t="shared" si="36"/>
        <v>0</v>
      </c>
      <c r="Q148" s="243"/>
      <c r="R148" s="243"/>
      <c r="S148" s="243"/>
      <c r="T148" s="243"/>
      <c r="U148" s="243"/>
    </row>
    <row r="149" spans="2:21">
      <c r="B149" s="145" t="str">
        <f t="shared" si="24"/>
        <v/>
      </c>
      <c r="C149" s="495">
        <f>IF(D94="","-",+C148+1)</f>
        <v>2062</v>
      </c>
      <c r="D149" s="349">
        <f>IF(F148+SUM(E$100:E148)=D$93,F148,D$93-SUM(E$100:E148))</f>
        <v>0</v>
      </c>
      <c r="E149" s="629">
        <f t="shared" si="29"/>
        <v>0</v>
      </c>
      <c r="F149" s="510">
        <f t="shared" si="30"/>
        <v>0</v>
      </c>
      <c r="G149" s="510">
        <f t="shared" si="31"/>
        <v>0</v>
      </c>
      <c r="H149" s="630">
        <f t="shared" si="32"/>
        <v>0</v>
      </c>
      <c r="I149" s="631">
        <f t="shared" si="33"/>
        <v>0</v>
      </c>
      <c r="J149" s="504">
        <f t="shared" si="28"/>
        <v>0</v>
      </c>
      <c r="K149" s="504"/>
      <c r="L149" s="512"/>
      <c r="M149" s="504">
        <f t="shared" si="34"/>
        <v>0</v>
      </c>
      <c r="N149" s="512"/>
      <c r="O149" s="504">
        <f t="shared" si="35"/>
        <v>0</v>
      </c>
      <c r="P149" s="504">
        <f t="shared" si="36"/>
        <v>0</v>
      </c>
      <c r="Q149" s="243"/>
      <c r="R149" s="243"/>
      <c r="S149" s="243"/>
      <c r="T149" s="243"/>
      <c r="U149" s="243"/>
    </row>
    <row r="150" spans="2:21">
      <c r="B150" s="145" t="str">
        <f t="shared" si="24"/>
        <v/>
      </c>
      <c r="C150" s="495">
        <f>IF(D94="","-",+C149+1)</f>
        <v>2063</v>
      </c>
      <c r="D150" s="349">
        <f>IF(F149+SUM(E$100:E149)=D$93,F149,D$93-SUM(E$100:E149))</f>
        <v>0</v>
      </c>
      <c r="E150" s="629">
        <f t="shared" si="29"/>
        <v>0</v>
      </c>
      <c r="F150" s="510">
        <f t="shared" si="30"/>
        <v>0</v>
      </c>
      <c r="G150" s="510">
        <f t="shared" si="31"/>
        <v>0</v>
      </c>
      <c r="H150" s="630">
        <f t="shared" si="32"/>
        <v>0</v>
      </c>
      <c r="I150" s="631">
        <f t="shared" si="33"/>
        <v>0</v>
      </c>
      <c r="J150" s="504">
        <f t="shared" si="28"/>
        <v>0</v>
      </c>
      <c r="K150" s="504"/>
      <c r="L150" s="512"/>
      <c r="M150" s="504">
        <f t="shared" si="34"/>
        <v>0</v>
      </c>
      <c r="N150" s="512"/>
      <c r="O150" s="504">
        <f t="shared" si="35"/>
        <v>0</v>
      </c>
      <c r="P150" s="504">
        <f t="shared" si="36"/>
        <v>0</v>
      </c>
      <c r="Q150" s="243"/>
      <c r="R150" s="243"/>
      <c r="S150" s="243"/>
      <c r="T150" s="243"/>
      <c r="U150" s="243"/>
    </row>
    <row r="151" spans="2:21">
      <c r="B151" s="145" t="str">
        <f t="shared" si="24"/>
        <v/>
      </c>
      <c r="C151" s="495">
        <f>IF(D94="","-",+C150+1)</f>
        <v>2064</v>
      </c>
      <c r="D151" s="349">
        <f>IF(F150+SUM(E$100:E150)=D$93,F150,D$93-SUM(E$100:E150))</f>
        <v>0</v>
      </c>
      <c r="E151" s="629">
        <f t="shared" si="29"/>
        <v>0</v>
      </c>
      <c r="F151" s="510">
        <f t="shared" si="30"/>
        <v>0</v>
      </c>
      <c r="G151" s="510">
        <f t="shared" si="31"/>
        <v>0</v>
      </c>
      <c r="H151" s="630">
        <f t="shared" si="32"/>
        <v>0</v>
      </c>
      <c r="I151" s="631">
        <f t="shared" si="33"/>
        <v>0</v>
      </c>
      <c r="J151" s="504">
        <f t="shared" si="28"/>
        <v>0</v>
      </c>
      <c r="K151" s="504"/>
      <c r="L151" s="512"/>
      <c r="M151" s="504">
        <f t="shared" si="34"/>
        <v>0</v>
      </c>
      <c r="N151" s="512"/>
      <c r="O151" s="504">
        <f t="shared" si="35"/>
        <v>0</v>
      </c>
      <c r="P151" s="504">
        <f t="shared" si="36"/>
        <v>0</v>
      </c>
      <c r="Q151" s="243"/>
      <c r="R151" s="243"/>
      <c r="S151" s="243"/>
      <c r="T151" s="243"/>
      <c r="U151" s="243"/>
    </row>
    <row r="152" spans="2:21">
      <c r="B152" s="145" t="str">
        <f t="shared" si="24"/>
        <v/>
      </c>
      <c r="C152" s="495">
        <f>IF(D94="","-",+C151+1)</f>
        <v>2065</v>
      </c>
      <c r="D152" s="349">
        <f>IF(F151+SUM(E$100:E151)=D$93,F151,D$93-SUM(E$100:E151))</f>
        <v>0</v>
      </c>
      <c r="E152" s="629">
        <f t="shared" si="29"/>
        <v>0</v>
      </c>
      <c r="F152" s="510">
        <f t="shared" si="30"/>
        <v>0</v>
      </c>
      <c r="G152" s="510">
        <f t="shared" si="31"/>
        <v>0</v>
      </c>
      <c r="H152" s="630">
        <f t="shared" si="32"/>
        <v>0</v>
      </c>
      <c r="I152" s="631">
        <f t="shared" si="33"/>
        <v>0</v>
      </c>
      <c r="J152" s="504">
        <f t="shared" si="28"/>
        <v>0</v>
      </c>
      <c r="K152" s="504"/>
      <c r="L152" s="512"/>
      <c r="M152" s="504">
        <f t="shared" si="34"/>
        <v>0</v>
      </c>
      <c r="N152" s="512"/>
      <c r="O152" s="504">
        <f t="shared" si="35"/>
        <v>0</v>
      </c>
      <c r="P152" s="504">
        <f t="shared" si="36"/>
        <v>0</v>
      </c>
      <c r="Q152" s="243"/>
      <c r="R152" s="243"/>
      <c r="S152" s="243"/>
      <c r="T152" s="243"/>
      <c r="U152" s="243"/>
    </row>
    <row r="153" spans="2:21">
      <c r="B153" s="145" t="str">
        <f t="shared" si="24"/>
        <v/>
      </c>
      <c r="C153" s="495">
        <f>IF(D94="","-",+C152+1)</f>
        <v>2066</v>
      </c>
      <c r="D153" s="349">
        <f>IF(F152+SUM(E$100:E152)=D$93,F152,D$93-SUM(E$100:E152))</f>
        <v>0</v>
      </c>
      <c r="E153" s="629">
        <f t="shared" si="29"/>
        <v>0</v>
      </c>
      <c r="F153" s="510">
        <f t="shared" si="30"/>
        <v>0</v>
      </c>
      <c r="G153" s="510">
        <f t="shared" si="31"/>
        <v>0</v>
      </c>
      <c r="H153" s="630">
        <f t="shared" si="32"/>
        <v>0</v>
      </c>
      <c r="I153" s="631">
        <f t="shared" si="33"/>
        <v>0</v>
      </c>
      <c r="J153" s="504">
        <f t="shared" si="28"/>
        <v>0</v>
      </c>
      <c r="K153" s="504"/>
      <c r="L153" s="512"/>
      <c r="M153" s="504">
        <f t="shared" si="34"/>
        <v>0</v>
      </c>
      <c r="N153" s="512"/>
      <c r="O153" s="504">
        <f t="shared" si="35"/>
        <v>0</v>
      </c>
      <c r="P153" s="504">
        <f t="shared" si="36"/>
        <v>0</v>
      </c>
      <c r="Q153" s="243"/>
      <c r="R153" s="243"/>
      <c r="S153" s="243"/>
      <c r="T153" s="243"/>
      <c r="U153" s="243"/>
    </row>
    <row r="154" spans="2:21">
      <c r="B154" s="145" t="str">
        <f t="shared" si="24"/>
        <v/>
      </c>
      <c r="C154" s="495">
        <f>IF(D94="","-",+C153+1)</f>
        <v>2067</v>
      </c>
      <c r="D154" s="349">
        <f>IF(F153+SUM(E$100:E153)=D$93,F153,D$93-SUM(E$100:E153))</f>
        <v>0</v>
      </c>
      <c r="E154" s="629">
        <f t="shared" si="29"/>
        <v>0</v>
      </c>
      <c r="F154" s="510">
        <f t="shared" si="30"/>
        <v>0</v>
      </c>
      <c r="G154" s="510">
        <f t="shared" si="31"/>
        <v>0</v>
      </c>
      <c r="H154" s="630">
        <f t="shared" si="32"/>
        <v>0</v>
      </c>
      <c r="I154" s="631">
        <f t="shared" si="33"/>
        <v>0</v>
      </c>
      <c r="J154" s="504">
        <f t="shared" si="28"/>
        <v>0</v>
      </c>
      <c r="K154" s="504"/>
      <c r="L154" s="512"/>
      <c r="M154" s="504">
        <f t="shared" si="34"/>
        <v>0</v>
      </c>
      <c r="N154" s="512"/>
      <c r="O154" s="504">
        <f t="shared" si="35"/>
        <v>0</v>
      </c>
      <c r="P154" s="504">
        <f t="shared" si="36"/>
        <v>0</v>
      </c>
      <c r="Q154" s="243"/>
      <c r="R154" s="243"/>
      <c r="S154" s="243"/>
      <c r="T154" s="243"/>
      <c r="U154" s="243"/>
    </row>
    <row r="155" spans="2:21" ht="13.5" thickBot="1">
      <c r="B155" s="145" t="str">
        <f t="shared" si="24"/>
        <v/>
      </c>
      <c r="C155" s="524">
        <f>IF(D94="","-",+C154+1)</f>
        <v>2068</v>
      </c>
      <c r="D155" s="618">
        <f>IF(F154+SUM(E$100:E154)=D$93,F154,D$93-SUM(E$100:E154))</f>
        <v>0</v>
      </c>
      <c r="E155" s="632">
        <f t="shared" si="29"/>
        <v>0</v>
      </c>
      <c r="F155" s="527">
        <f t="shared" si="30"/>
        <v>0</v>
      </c>
      <c r="G155" s="527">
        <f t="shared" si="31"/>
        <v>0</v>
      </c>
      <c r="H155" s="633">
        <f t="shared" si="32"/>
        <v>0</v>
      </c>
      <c r="I155" s="634">
        <f t="shared" si="33"/>
        <v>0</v>
      </c>
      <c r="J155" s="531">
        <f t="shared" si="28"/>
        <v>0</v>
      </c>
      <c r="K155" s="504"/>
      <c r="L155" s="530"/>
      <c r="M155" s="531">
        <f t="shared" si="34"/>
        <v>0</v>
      </c>
      <c r="N155" s="530"/>
      <c r="O155" s="531">
        <f t="shared" si="35"/>
        <v>0</v>
      </c>
      <c r="P155" s="531">
        <f t="shared" si="36"/>
        <v>0</v>
      </c>
      <c r="Q155" s="243"/>
      <c r="R155" s="243"/>
      <c r="S155" s="243"/>
      <c r="T155" s="243"/>
      <c r="U155" s="243"/>
    </row>
    <row r="156" spans="2:21">
      <c r="C156" s="349" t="s">
        <v>75</v>
      </c>
      <c r="D156" s="294"/>
      <c r="E156" s="294">
        <f>SUM(E100:E155)</f>
        <v>7210309.0000000019</v>
      </c>
      <c r="F156" s="294"/>
      <c r="G156" s="294"/>
      <c r="H156" s="294">
        <f>SUM(H100:H155)</f>
        <v>17772591.080567587</v>
      </c>
      <c r="I156" s="294">
        <f>SUM(I100:I155)</f>
        <v>17772591.080567587</v>
      </c>
      <c r="J156" s="294">
        <f>SUM(J100:J155)</f>
        <v>0</v>
      </c>
      <c r="K156" s="294"/>
      <c r="L156" s="294"/>
      <c r="M156" s="294"/>
      <c r="N156" s="294"/>
      <c r="O156" s="294"/>
      <c r="P156" s="243"/>
      <c r="Q156" s="243"/>
      <c r="R156" s="243"/>
      <c r="S156" s="243"/>
      <c r="T156" s="243"/>
      <c r="U156" s="243"/>
    </row>
    <row r="157" spans="2:21">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c r="C158" s="574"/>
      <c r="D158" s="292"/>
      <c r="E158" s="243"/>
      <c r="F158" s="243"/>
      <c r="G158" s="243"/>
      <c r="H158" s="243"/>
      <c r="I158" s="325"/>
      <c r="J158" s="325"/>
      <c r="K158" s="294"/>
      <c r="L158" s="325"/>
      <c r="M158" s="325"/>
      <c r="N158" s="325"/>
      <c r="O158" s="325"/>
      <c r="P158" s="243"/>
      <c r="Q158" s="243"/>
      <c r="R158" s="243"/>
      <c r="S158" s="243"/>
      <c r="T158" s="243"/>
      <c r="U158" s="243"/>
    </row>
    <row r="159" spans="2:21">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c r="C162" s="575"/>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41" priority="1" stopIfTrue="1" operator="equal">
      <formula>$I$10</formula>
    </cfRule>
  </conditionalFormatting>
  <conditionalFormatting sqref="C100:C155">
    <cfRule type="cellIs" dxfId="40"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39997558519241921"/>
  </sheetPr>
  <dimension ref="A1:U163"/>
  <sheetViews>
    <sheetView view="pageBreakPreview" zoomScale="78" zoomScaleNormal="100" zoomScaleSheetLayoutView="78"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11 of 23</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2497588.3440501089</v>
      </c>
      <c r="P5" s="243"/>
      <c r="R5" s="243"/>
      <c r="S5" s="243"/>
      <c r="T5" s="243"/>
      <c r="U5" s="243"/>
    </row>
    <row r="6" spans="1:21" ht="15.75">
      <c r="C6" s="235"/>
      <c r="D6" s="292"/>
      <c r="E6" s="243"/>
      <c r="F6" s="243"/>
      <c r="G6" s="243"/>
      <c r="H6" s="449"/>
      <c r="I6" s="449"/>
      <c r="J6" s="450"/>
      <c r="K6" s="451" t="s">
        <v>243</v>
      </c>
      <c r="L6" s="452"/>
      <c r="M6" s="278"/>
      <c r="N6" s="453">
        <f>VLOOKUP(I10,C17:I73,6)</f>
        <v>2497588.3440501089</v>
      </c>
      <c r="O6" s="243"/>
      <c r="P6" s="243"/>
      <c r="R6" s="243"/>
      <c r="S6" s="243"/>
      <c r="T6" s="243"/>
      <c r="U6" s="243"/>
    </row>
    <row r="7" spans="1:21" ht="13.5" thickBot="1">
      <c r="C7" s="454" t="s">
        <v>46</v>
      </c>
      <c r="D7" s="455" t="s">
        <v>222</v>
      </c>
      <c r="E7" s="243"/>
      <c r="F7" s="243"/>
      <c r="G7" s="243"/>
      <c r="H7" s="325"/>
      <c r="I7" s="325"/>
      <c r="J7" s="294"/>
      <c r="K7" s="456" t="s">
        <v>47</v>
      </c>
      <c r="L7" s="457"/>
      <c r="M7" s="457"/>
      <c r="N7" s="458">
        <f>+N6-N5</f>
        <v>0</v>
      </c>
      <c r="O7" s="243"/>
      <c r="P7" s="243"/>
      <c r="R7" s="243"/>
      <c r="S7" s="243"/>
      <c r="T7" s="243"/>
      <c r="U7" s="243"/>
    </row>
    <row r="8" spans="1:21" ht="13.5" thickBot="1">
      <c r="C8" s="459"/>
      <c r="D8" s="625" t="s">
        <v>230</v>
      </c>
      <c r="E8" s="461"/>
      <c r="F8" s="461"/>
      <c r="G8" s="461"/>
      <c r="H8" s="461"/>
      <c r="I8" s="461"/>
      <c r="J8" s="462"/>
      <c r="K8" s="461"/>
      <c r="L8" s="461"/>
      <c r="M8" s="461"/>
      <c r="N8" s="461"/>
      <c r="O8" s="462"/>
      <c r="P8" s="248"/>
      <c r="R8" s="243"/>
      <c r="S8" s="243"/>
      <c r="T8" s="243"/>
      <c r="U8" s="243"/>
    </row>
    <row r="9" spans="1:21" ht="13.5" thickBot="1">
      <c r="C9" s="463" t="s">
        <v>48</v>
      </c>
      <c r="D9" s="464" t="s">
        <v>221</v>
      </c>
      <c r="E9" s="647" t="s">
        <v>302</v>
      </c>
      <c r="F9" s="465"/>
      <c r="G9" s="465"/>
      <c r="H9" s="465"/>
      <c r="I9" s="466"/>
      <c r="J9" s="467"/>
      <c r="O9" s="468"/>
      <c r="P9" s="278"/>
      <c r="R9" s="243"/>
      <c r="S9" s="243"/>
      <c r="T9" s="243"/>
      <c r="U9" s="243"/>
    </row>
    <row r="10" spans="1:21">
      <c r="C10" s="469" t="s">
        <v>49</v>
      </c>
      <c r="D10" s="470">
        <v>20242585</v>
      </c>
      <c r="E10" s="299" t="s">
        <v>50</v>
      </c>
      <c r="F10" s="468"/>
      <c r="G10" s="408"/>
      <c r="H10" s="408"/>
      <c r="I10" s="471">
        <f>+OKT.WS.F.BPU.ATRR.Projected!R101</f>
        <v>2022</v>
      </c>
      <c r="J10" s="467"/>
      <c r="K10" s="294" t="s">
        <v>51</v>
      </c>
      <c r="O10" s="278"/>
      <c r="P10" s="278"/>
      <c r="R10" s="243"/>
      <c r="S10" s="243"/>
      <c r="T10" s="243"/>
      <c r="U10" s="243"/>
    </row>
    <row r="11" spans="1:21">
      <c r="C11" s="472" t="s">
        <v>52</v>
      </c>
      <c r="D11" s="473">
        <v>2014</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11</v>
      </c>
      <c r="E12" s="472" t="s">
        <v>55</v>
      </c>
      <c r="F12" s="408"/>
      <c r="G12" s="220"/>
      <c r="H12" s="220"/>
      <c r="I12" s="476">
        <f>OKT.WS.F.BPU.ATRR.Projected!$F$79</f>
        <v>0.11475877389767174</v>
      </c>
      <c r="J12" s="413"/>
      <c r="K12" s="145" t="s">
        <v>56</v>
      </c>
      <c r="O12" s="278"/>
      <c r="P12" s="278"/>
      <c r="R12" s="243"/>
      <c r="S12" s="243"/>
      <c r="T12" s="243"/>
      <c r="U12" s="243"/>
    </row>
    <row r="13" spans="1:21">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613411.66666666663</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73" si="0">IF(D17=F16,"","IU")</f>
        <v>IU</v>
      </c>
      <c r="C17" s="495">
        <f>IF(D11= "","-",D11)</f>
        <v>2014</v>
      </c>
      <c r="D17" s="612">
        <v>19043679.66</v>
      </c>
      <c r="E17" s="620">
        <v>27453.384639991029</v>
      </c>
      <c r="F17" s="612">
        <v>19016226.275360011</v>
      </c>
      <c r="G17" s="620">
        <v>376170.81030765898</v>
      </c>
      <c r="H17" s="617">
        <v>376170.81030765898</v>
      </c>
      <c r="I17" s="584">
        <v>0</v>
      </c>
      <c r="J17" s="500"/>
      <c r="K17" s="501">
        <f t="shared" ref="K17:K22" si="1">G17</f>
        <v>376170.81030765898</v>
      </c>
      <c r="L17" s="502">
        <f t="shared" ref="L17:L22" si="2">IF(K17&lt;&gt;0,+G17-K17,0)</f>
        <v>0</v>
      </c>
      <c r="M17" s="501">
        <f t="shared" ref="M17:M22" si="3">H17</f>
        <v>376170.81030765898</v>
      </c>
      <c r="N17" s="503">
        <f>IF(M17&lt;&gt;0,+H17-M17,0)</f>
        <v>0</v>
      </c>
      <c r="O17" s="504">
        <f>+N17-L17</f>
        <v>0</v>
      </c>
      <c r="P17" s="278"/>
      <c r="R17" s="243"/>
      <c r="S17" s="243"/>
      <c r="T17" s="243"/>
      <c r="U17" s="243"/>
    </row>
    <row r="18" spans="2:21">
      <c r="B18" s="145" t="str">
        <f t="shared" si="0"/>
        <v/>
      </c>
      <c r="C18" s="495">
        <f>IF(D11="","-",+C17+1)</f>
        <v>2015</v>
      </c>
      <c r="D18" s="614">
        <v>19016226.275360011</v>
      </c>
      <c r="E18" s="613">
        <v>329440.61567989236</v>
      </c>
      <c r="F18" s="614">
        <v>18686785.659680117</v>
      </c>
      <c r="G18" s="613">
        <v>2255402.3674066337</v>
      </c>
      <c r="H18" s="617">
        <v>2255402.3674066337</v>
      </c>
      <c r="I18" s="500">
        <v>0</v>
      </c>
      <c r="J18" s="500"/>
      <c r="K18" s="506">
        <f t="shared" si="1"/>
        <v>2255402.3674066337</v>
      </c>
      <c r="L18" s="507">
        <f t="shared" si="2"/>
        <v>0</v>
      </c>
      <c r="M18" s="506">
        <f t="shared" si="3"/>
        <v>2255402.3674066337</v>
      </c>
      <c r="N18" s="504">
        <f>IF(M18&lt;&gt;0,+H18-M18,0)</f>
        <v>0</v>
      </c>
      <c r="O18" s="504">
        <f>+N18-L18</f>
        <v>0</v>
      </c>
      <c r="P18" s="278"/>
      <c r="R18" s="243"/>
      <c r="S18" s="243"/>
      <c r="T18" s="243"/>
      <c r="U18" s="243"/>
    </row>
    <row r="19" spans="2:21">
      <c r="B19" s="145" t="str">
        <f t="shared" si="0"/>
        <v>IU</v>
      </c>
      <c r="C19" s="495">
        <f>IF(D11="","-",+C18+1)</f>
        <v>2016</v>
      </c>
      <c r="D19" s="614">
        <v>19821118.999680117</v>
      </c>
      <c r="E19" s="613">
        <v>419288.09601556091</v>
      </c>
      <c r="F19" s="614">
        <v>19401830.903664555</v>
      </c>
      <c r="G19" s="613">
        <v>2512364.7940132553</v>
      </c>
      <c r="H19" s="617">
        <v>2512364.7940132553</v>
      </c>
      <c r="I19" s="500">
        <f>H19-G19</f>
        <v>0</v>
      </c>
      <c r="J19" s="500"/>
      <c r="K19" s="506">
        <f t="shared" si="1"/>
        <v>2512364.7940132553</v>
      </c>
      <c r="L19" s="507">
        <f t="shared" si="2"/>
        <v>0</v>
      </c>
      <c r="M19" s="506">
        <f t="shared" si="3"/>
        <v>2512364.7940132553</v>
      </c>
      <c r="N19" s="504">
        <f t="shared" ref="N19:N73" si="4">IF(M19&lt;&gt;0,+H19-M19,0)</f>
        <v>0</v>
      </c>
      <c r="O19" s="504">
        <f t="shared" ref="O19:O73" si="5">+N19-L19</f>
        <v>0</v>
      </c>
      <c r="P19" s="278"/>
      <c r="R19" s="243"/>
      <c r="S19" s="243"/>
      <c r="T19" s="243"/>
      <c r="U19" s="243"/>
    </row>
    <row r="20" spans="2:21">
      <c r="B20" s="145" t="str">
        <f t="shared" si="0"/>
        <v>IU</v>
      </c>
      <c r="C20" s="495">
        <f>IF(D11="","-",+C19+1)</f>
        <v>2017</v>
      </c>
      <c r="D20" s="614">
        <v>19471877.903664555</v>
      </c>
      <c r="E20" s="613">
        <v>398116.94637922302</v>
      </c>
      <c r="F20" s="614">
        <v>19073760.957285333</v>
      </c>
      <c r="G20" s="613">
        <v>2516970.1817795802</v>
      </c>
      <c r="H20" s="617">
        <v>2516970.1817795802</v>
      </c>
      <c r="I20" s="500">
        <f t="shared" ref="I20:I73" si="6">H20-G20</f>
        <v>0</v>
      </c>
      <c r="J20" s="500"/>
      <c r="K20" s="506">
        <f t="shared" si="1"/>
        <v>2516970.1817795802</v>
      </c>
      <c r="L20" s="507">
        <f t="shared" si="2"/>
        <v>0</v>
      </c>
      <c r="M20" s="506">
        <f t="shared" si="3"/>
        <v>2516970.1817795802</v>
      </c>
      <c r="N20" s="504">
        <f>IF(M20&lt;&gt;0,+H20-M20,0)</f>
        <v>0</v>
      </c>
      <c r="O20" s="504">
        <f>+N20-L20</f>
        <v>0</v>
      </c>
      <c r="P20" s="278"/>
      <c r="R20" s="243"/>
      <c r="S20" s="243"/>
      <c r="T20" s="243"/>
      <c r="U20" s="243"/>
    </row>
    <row r="21" spans="2:21">
      <c r="B21" s="145" t="str">
        <f t="shared" si="0"/>
        <v/>
      </c>
      <c r="C21" s="495">
        <f>IF(D11="","-",+C20+1)</f>
        <v>2018</v>
      </c>
      <c r="D21" s="614">
        <v>19073760.957285333</v>
      </c>
      <c r="E21" s="613">
        <v>496575.20652112603</v>
      </c>
      <c r="F21" s="614">
        <v>18577185.750764206</v>
      </c>
      <c r="G21" s="613">
        <v>2409688.5146536361</v>
      </c>
      <c r="H21" s="617">
        <v>2409688.5146536361</v>
      </c>
      <c r="I21" s="500">
        <v>0</v>
      </c>
      <c r="J21" s="500"/>
      <c r="K21" s="506">
        <f t="shared" si="1"/>
        <v>2409688.5146536361</v>
      </c>
      <c r="L21" s="507">
        <f t="shared" si="2"/>
        <v>0</v>
      </c>
      <c r="M21" s="506">
        <f t="shared" si="3"/>
        <v>2409688.5146536361</v>
      </c>
      <c r="N21" s="504">
        <f>IF(M21&lt;&gt;0,+H21-M21,0)</f>
        <v>0</v>
      </c>
      <c r="O21" s="504">
        <f>+N21-L21</f>
        <v>0</v>
      </c>
      <c r="P21" s="278"/>
      <c r="R21" s="243"/>
      <c r="S21" s="243"/>
      <c r="T21" s="243"/>
      <c r="U21" s="243"/>
    </row>
    <row r="22" spans="2:21">
      <c r="B22" s="145" t="str">
        <f t="shared" si="0"/>
        <v/>
      </c>
      <c r="C22" s="495">
        <f>IF(D11="","-",+C21+1)</f>
        <v>2019</v>
      </c>
      <c r="D22" s="614">
        <v>18577185.750764206</v>
      </c>
      <c r="E22" s="613">
        <v>600534.11201085045</v>
      </c>
      <c r="F22" s="614">
        <v>17976651.638753355</v>
      </c>
      <c r="G22" s="613">
        <v>2500163.2849116144</v>
      </c>
      <c r="H22" s="617">
        <v>2500163.2849116144</v>
      </c>
      <c r="I22" s="500">
        <f t="shared" si="6"/>
        <v>0</v>
      </c>
      <c r="J22" s="500"/>
      <c r="K22" s="506">
        <f t="shared" si="1"/>
        <v>2500163.2849116144</v>
      </c>
      <c r="L22" s="507">
        <f t="shared" si="2"/>
        <v>0</v>
      </c>
      <c r="M22" s="506">
        <f t="shared" si="3"/>
        <v>2500163.2849116144</v>
      </c>
      <c r="N22" s="504">
        <f>IF(M22&lt;&gt;0,+H22-M22,0)</f>
        <v>0</v>
      </c>
      <c r="O22" s="504">
        <f>+N22-L22</f>
        <v>0</v>
      </c>
      <c r="P22" s="278"/>
      <c r="R22" s="243"/>
      <c r="S22" s="243"/>
      <c r="T22" s="243"/>
      <c r="U22" s="243"/>
    </row>
    <row r="23" spans="2:21">
      <c r="B23" s="145" t="str">
        <f t="shared" si="0"/>
        <v>IU</v>
      </c>
      <c r="C23" s="495">
        <f>IF(D11="","-",+C22+1)</f>
        <v>2020</v>
      </c>
      <c r="D23" s="614">
        <v>18080586.019661143</v>
      </c>
      <c r="E23" s="613">
        <v>592899.2478612588</v>
      </c>
      <c r="F23" s="614">
        <v>17487686.771799885</v>
      </c>
      <c r="G23" s="613">
        <v>2459032.5411911216</v>
      </c>
      <c r="H23" s="617">
        <v>2459032.5411911216</v>
      </c>
      <c r="I23" s="500">
        <f t="shared" si="6"/>
        <v>0</v>
      </c>
      <c r="J23" s="500"/>
      <c r="K23" s="506">
        <f t="shared" ref="K23" si="7">G23</f>
        <v>2459032.5411911216</v>
      </c>
      <c r="L23" s="507">
        <f t="shared" ref="L23" si="8">IF(K23&lt;&gt;0,+G23-K23,0)</f>
        <v>0</v>
      </c>
      <c r="M23" s="506">
        <f t="shared" ref="M23" si="9">H23</f>
        <v>2459032.5411911216</v>
      </c>
      <c r="N23" s="504">
        <f>IF(M23&lt;&gt;0,+H23-M23,0)</f>
        <v>0</v>
      </c>
      <c r="O23" s="504">
        <f t="shared" si="5"/>
        <v>0</v>
      </c>
      <c r="P23" s="278"/>
      <c r="R23" s="243"/>
      <c r="S23" s="243"/>
      <c r="T23" s="243"/>
      <c r="U23" s="243"/>
    </row>
    <row r="24" spans="2:21">
      <c r="B24" s="145" t="str">
        <f t="shared" si="0"/>
        <v>IU</v>
      </c>
      <c r="C24" s="495">
        <f>IF(D11="","-",+C23+1)</f>
        <v>2021</v>
      </c>
      <c r="D24" s="614">
        <v>17378277.390892096</v>
      </c>
      <c r="E24" s="613">
        <v>652986.61290322582</v>
      </c>
      <c r="F24" s="614">
        <v>16725290.77798887</v>
      </c>
      <c r="G24" s="613">
        <v>2497735.0197140798</v>
      </c>
      <c r="H24" s="617">
        <v>2497735.0197140798</v>
      </c>
      <c r="I24" s="500">
        <f t="shared" si="6"/>
        <v>0</v>
      </c>
      <c r="J24" s="500"/>
      <c r="K24" s="506">
        <f t="shared" ref="K24" si="10">G24</f>
        <v>2497735.0197140798</v>
      </c>
      <c r="L24" s="507">
        <f t="shared" ref="L24" si="11">IF(K24&lt;&gt;0,+G24-K24,0)</f>
        <v>0</v>
      </c>
      <c r="M24" s="506">
        <f t="shared" ref="M24" si="12">H24</f>
        <v>2497735.0197140798</v>
      </c>
      <c r="N24" s="504">
        <f t="shared" si="4"/>
        <v>0</v>
      </c>
      <c r="O24" s="504">
        <f t="shared" si="5"/>
        <v>0</v>
      </c>
      <c r="P24" s="278"/>
      <c r="R24" s="243"/>
      <c r="S24" s="243"/>
      <c r="T24" s="243"/>
      <c r="U24" s="243"/>
    </row>
    <row r="25" spans="2:21">
      <c r="B25" s="145" t="str">
        <f t="shared" si="0"/>
        <v/>
      </c>
      <c r="C25" s="495">
        <f>IF(D11="","-",+C24+1)</f>
        <v>2022</v>
      </c>
      <c r="D25" s="508">
        <f>IF(F24+SUM(E$17:E24)=D$10,F24,D$10-SUM(E$17:E24))</f>
        <v>16725290.77798887</v>
      </c>
      <c r="E25" s="509">
        <f t="shared" ref="E25:E73" si="13">IF(+$I$14&lt;F24,$I$14,D25)</f>
        <v>613411.66666666663</v>
      </c>
      <c r="F25" s="510">
        <f t="shared" ref="F25:F73" si="14">+D25-E25</f>
        <v>16111879.111322204</v>
      </c>
      <c r="G25" s="511">
        <f t="shared" ref="G25:G73" si="15">(D25+F25)/2*I$12+E25</f>
        <v>2497588.3440501089</v>
      </c>
      <c r="H25" s="477">
        <f t="shared" ref="H25:H73" si="16">+(D25+F25)/2*I$13+E25</f>
        <v>2497588.3440501089</v>
      </c>
      <c r="I25" s="500">
        <f t="shared" si="6"/>
        <v>0</v>
      </c>
      <c r="J25" s="500"/>
      <c r="K25" s="512"/>
      <c r="L25" s="504">
        <f t="shared" ref="L25:L73" si="17">IF(K25&lt;&gt;0,+G25-K25,0)</f>
        <v>0</v>
      </c>
      <c r="M25" s="512"/>
      <c r="N25" s="504">
        <f t="shared" si="4"/>
        <v>0</v>
      </c>
      <c r="O25" s="504">
        <f t="shared" si="5"/>
        <v>0</v>
      </c>
      <c r="P25" s="278"/>
      <c r="R25" s="243"/>
      <c r="S25" s="243"/>
      <c r="T25" s="243"/>
      <c r="U25" s="243"/>
    </row>
    <row r="26" spans="2:21">
      <c r="B26" s="145" t="str">
        <f t="shared" si="0"/>
        <v/>
      </c>
      <c r="C26" s="495">
        <f>IF(D11="","-",+C25+1)</f>
        <v>2023</v>
      </c>
      <c r="D26" s="508">
        <f>IF(F25+SUM(E$17:E25)=D$10,F25,D$10-SUM(E$17:E25))</f>
        <v>16111879.111322204</v>
      </c>
      <c r="E26" s="509">
        <f t="shared" si="13"/>
        <v>613411.66666666663</v>
      </c>
      <c r="F26" s="510">
        <f t="shared" si="14"/>
        <v>15498467.444655538</v>
      </c>
      <c r="G26" s="511">
        <f t="shared" si="15"/>
        <v>2427193.9732889147</v>
      </c>
      <c r="H26" s="477">
        <f t="shared" si="16"/>
        <v>2427193.9732889147</v>
      </c>
      <c r="I26" s="500">
        <f t="shared" si="6"/>
        <v>0</v>
      </c>
      <c r="J26" s="500"/>
      <c r="K26" s="512"/>
      <c r="L26" s="504">
        <f t="shared" si="17"/>
        <v>0</v>
      </c>
      <c r="M26" s="512"/>
      <c r="N26" s="504">
        <f t="shared" si="4"/>
        <v>0</v>
      </c>
      <c r="O26" s="504">
        <f t="shared" si="5"/>
        <v>0</v>
      </c>
      <c r="P26" s="278"/>
      <c r="R26" s="243"/>
      <c r="S26" s="243"/>
      <c r="T26" s="243"/>
      <c r="U26" s="243"/>
    </row>
    <row r="27" spans="2:21">
      <c r="B27" s="145" t="str">
        <f t="shared" si="0"/>
        <v/>
      </c>
      <c r="C27" s="495">
        <f>IF(D11="","-",+C26+1)</f>
        <v>2024</v>
      </c>
      <c r="D27" s="508">
        <f>IF(F26+SUM(E$17:E26)=D$10,F26,D$10-SUM(E$17:E26))</f>
        <v>15498467.444655538</v>
      </c>
      <c r="E27" s="509">
        <f t="shared" si="13"/>
        <v>613411.66666666663</v>
      </c>
      <c r="F27" s="510">
        <f t="shared" si="14"/>
        <v>14885055.777988872</v>
      </c>
      <c r="G27" s="511">
        <f t="shared" si="15"/>
        <v>2356799.6025277209</v>
      </c>
      <c r="H27" s="477">
        <f t="shared" si="16"/>
        <v>2356799.6025277209</v>
      </c>
      <c r="I27" s="500">
        <f t="shared" si="6"/>
        <v>0</v>
      </c>
      <c r="J27" s="500"/>
      <c r="K27" s="512"/>
      <c r="L27" s="504">
        <f t="shared" si="17"/>
        <v>0</v>
      </c>
      <c r="M27" s="512"/>
      <c r="N27" s="504">
        <f t="shared" si="4"/>
        <v>0</v>
      </c>
      <c r="O27" s="504">
        <f t="shared" si="5"/>
        <v>0</v>
      </c>
      <c r="P27" s="278"/>
      <c r="R27" s="243"/>
      <c r="S27" s="243"/>
      <c r="T27" s="243"/>
      <c r="U27" s="243"/>
    </row>
    <row r="28" spans="2:21">
      <c r="B28" s="145" t="str">
        <f t="shared" si="0"/>
        <v/>
      </c>
      <c r="C28" s="495">
        <f>IF(D11="","-",+C27+1)</f>
        <v>2025</v>
      </c>
      <c r="D28" s="508">
        <f>IF(F27+SUM(E$17:E27)=D$10,F27,D$10-SUM(E$17:E27))</f>
        <v>14885055.777988872</v>
      </c>
      <c r="E28" s="509">
        <f t="shared" si="13"/>
        <v>613411.66666666663</v>
      </c>
      <c r="F28" s="510">
        <f t="shared" si="14"/>
        <v>14271644.111322206</v>
      </c>
      <c r="G28" s="511">
        <f t="shared" si="15"/>
        <v>2286405.2317665266</v>
      </c>
      <c r="H28" s="477">
        <f t="shared" si="16"/>
        <v>2286405.2317665266</v>
      </c>
      <c r="I28" s="500">
        <f t="shared" si="6"/>
        <v>0</v>
      </c>
      <c r="J28" s="500"/>
      <c r="K28" s="512"/>
      <c r="L28" s="504">
        <f t="shared" si="17"/>
        <v>0</v>
      </c>
      <c r="M28" s="512"/>
      <c r="N28" s="504">
        <f t="shared" si="4"/>
        <v>0</v>
      </c>
      <c r="O28" s="504">
        <f t="shared" si="5"/>
        <v>0</v>
      </c>
      <c r="P28" s="278"/>
      <c r="R28" s="243"/>
      <c r="S28" s="243"/>
      <c r="T28" s="243"/>
      <c r="U28" s="243"/>
    </row>
    <row r="29" spans="2:21">
      <c r="B29" s="145" t="str">
        <f t="shared" si="0"/>
        <v/>
      </c>
      <c r="C29" s="495">
        <f>IF(D11="","-",+C28+1)</f>
        <v>2026</v>
      </c>
      <c r="D29" s="508">
        <f>IF(F28+SUM(E$17:E28)=D$10,F28,D$10-SUM(E$17:E28))</f>
        <v>14271644.111322206</v>
      </c>
      <c r="E29" s="509">
        <f t="shared" si="13"/>
        <v>613411.66666666663</v>
      </c>
      <c r="F29" s="510">
        <f t="shared" si="14"/>
        <v>13658232.444655539</v>
      </c>
      <c r="G29" s="511">
        <f t="shared" si="15"/>
        <v>2216010.8610053333</v>
      </c>
      <c r="H29" s="477">
        <f t="shared" si="16"/>
        <v>2216010.8610053333</v>
      </c>
      <c r="I29" s="500">
        <f t="shared" si="6"/>
        <v>0</v>
      </c>
      <c r="J29" s="500"/>
      <c r="K29" s="512"/>
      <c r="L29" s="504">
        <f t="shared" si="17"/>
        <v>0</v>
      </c>
      <c r="M29" s="512"/>
      <c r="N29" s="504">
        <f t="shared" si="4"/>
        <v>0</v>
      </c>
      <c r="O29" s="504">
        <f t="shared" si="5"/>
        <v>0</v>
      </c>
      <c r="P29" s="278"/>
      <c r="R29" s="243"/>
      <c r="S29" s="243"/>
      <c r="T29" s="243"/>
      <c r="U29" s="243"/>
    </row>
    <row r="30" spans="2:21">
      <c r="B30" s="145" t="str">
        <f t="shared" si="0"/>
        <v/>
      </c>
      <c r="C30" s="495">
        <f>IF(D11="","-",+C29+1)</f>
        <v>2027</v>
      </c>
      <c r="D30" s="508">
        <f>IF(F29+SUM(E$17:E29)=D$10,F29,D$10-SUM(E$17:E29))</f>
        <v>13658232.444655539</v>
      </c>
      <c r="E30" s="509">
        <f t="shared" si="13"/>
        <v>613411.66666666663</v>
      </c>
      <c r="F30" s="510">
        <f t="shared" si="14"/>
        <v>13044820.777988873</v>
      </c>
      <c r="G30" s="511">
        <f t="shared" si="15"/>
        <v>2145616.490244139</v>
      </c>
      <c r="H30" s="477">
        <f t="shared" si="16"/>
        <v>2145616.490244139</v>
      </c>
      <c r="I30" s="500">
        <f t="shared" si="6"/>
        <v>0</v>
      </c>
      <c r="J30" s="500"/>
      <c r="K30" s="512"/>
      <c r="L30" s="504">
        <f t="shared" si="17"/>
        <v>0</v>
      </c>
      <c r="M30" s="512"/>
      <c r="N30" s="504">
        <f t="shared" si="4"/>
        <v>0</v>
      </c>
      <c r="O30" s="504">
        <f t="shared" si="5"/>
        <v>0</v>
      </c>
      <c r="P30" s="278"/>
      <c r="R30" s="243"/>
      <c r="S30" s="243"/>
      <c r="T30" s="243"/>
      <c r="U30" s="243"/>
    </row>
    <row r="31" spans="2:21">
      <c r="B31" s="145" t="str">
        <f t="shared" si="0"/>
        <v/>
      </c>
      <c r="C31" s="495">
        <f>IF(D11="","-",+C30+1)</f>
        <v>2028</v>
      </c>
      <c r="D31" s="508">
        <f>IF(F30+SUM(E$17:E30)=D$10,F30,D$10-SUM(E$17:E30))</f>
        <v>13044820.777988873</v>
      </c>
      <c r="E31" s="509">
        <f t="shared" si="13"/>
        <v>613411.66666666663</v>
      </c>
      <c r="F31" s="510">
        <f t="shared" si="14"/>
        <v>12431409.111322207</v>
      </c>
      <c r="G31" s="511">
        <f t="shared" si="15"/>
        <v>2075222.1194829452</v>
      </c>
      <c r="H31" s="477">
        <f t="shared" si="16"/>
        <v>2075222.1194829452</v>
      </c>
      <c r="I31" s="500">
        <f t="shared" si="6"/>
        <v>0</v>
      </c>
      <c r="J31" s="500"/>
      <c r="K31" s="512"/>
      <c r="L31" s="504">
        <f t="shared" si="17"/>
        <v>0</v>
      </c>
      <c r="M31" s="512"/>
      <c r="N31" s="504">
        <f t="shared" si="4"/>
        <v>0</v>
      </c>
      <c r="O31" s="504">
        <f t="shared" si="5"/>
        <v>0</v>
      </c>
      <c r="P31" s="278"/>
      <c r="Q31" s="220"/>
      <c r="R31" s="278"/>
      <c r="S31" s="278"/>
      <c r="T31" s="278"/>
      <c r="U31" s="243"/>
    </row>
    <row r="32" spans="2:21">
      <c r="B32" s="145" t="str">
        <f t="shared" si="0"/>
        <v/>
      </c>
      <c r="C32" s="495">
        <f>IF(D12="","-",+C31+1)</f>
        <v>2029</v>
      </c>
      <c r="D32" s="508">
        <f>IF(F31+SUM(E$17:E31)=D$10,F31,D$10-SUM(E$17:E31))</f>
        <v>12431409.111322207</v>
      </c>
      <c r="E32" s="509">
        <f>IF(+$I$14&lt;F31,$I$14,D32)</f>
        <v>613411.66666666663</v>
      </c>
      <c r="F32" s="510">
        <f>+D32-E32</f>
        <v>11817997.444655541</v>
      </c>
      <c r="G32" s="511">
        <f t="shared" si="15"/>
        <v>2004827.7487217509</v>
      </c>
      <c r="H32" s="477">
        <f t="shared" si="16"/>
        <v>2004827.7487217509</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2030</v>
      </c>
      <c r="D33" s="508">
        <f>IF(F32+SUM(E$17:E32)=D$10,F32,D$10-SUM(E$17:E32))</f>
        <v>11817997.444655541</v>
      </c>
      <c r="E33" s="509">
        <f>IF(+$I$14&lt;F32,$I$14,D33)</f>
        <v>613411.66666666663</v>
      </c>
      <c r="F33" s="510">
        <f>+D33-E33</f>
        <v>11204585.777988875</v>
      </c>
      <c r="G33" s="511">
        <f t="shared" si="15"/>
        <v>1934433.3779605576</v>
      </c>
      <c r="H33" s="477">
        <f t="shared" si="16"/>
        <v>1934433.3779605576</v>
      </c>
      <c r="I33" s="500">
        <f>H33-G33</f>
        <v>0</v>
      </c>
      <c r="J33" s="500"/>
      <c r="K33" s="512"/>
      <c r="L33" s="504">
        <f>IF(K33&lt;&gt;0,+G33-K33,0)</f>
        <v>0</v>
      </c>
      <c r="M33" s="512"/>
      <c r="N33" s="504">
        <f>IF(M33&lt;&gt;0,+H33-M33,0)</f>
        <v>0</v>
      </c>
      <c r="O33" s="504">
        <f>+N33-L33</f>
        <v>0</v>
      </c>
      <c r="P33" s="278"/>
      <c r="R33" s="243"/>
      <c r="S33" s="243"/>
      <c r="T33" s="243"/>
      <c r="U33" s="243"/>
    </row>
    <row r="34" spans="2:21">
      <c r="B34" s="145" t="str">
        <f t="shared" si="0"/>
        <v/>
      </c>
      <c r="C34" s="513">
        <f>IF(D11="","-",+C33+1)</f>
        <v>2031</v>
      </c>
      <c r="D34" s="514">
        <f>IF(F33+SUM(E$17:E33)=D$10,F33,D$10-SUM(E$17:E33))</f>
        <v>11204585.777988875</v>
      </c>
      <c r="E34" s="515">
        <f t="shared" si="13"/>
        <v>613411.66666666663</v>
      </c>
      <c r="F34" s="516">
        <f t="shared" si="14"/>
        <v>10591174.111322209</v>
      </c>
      <c r="G34" s="511">
        <f t="shared" si="15"/>
        <v>1864039.0071993633</v>
      </c>
      <c r="H34" s="477">
        <f t="shared" si="16"/>
        <v>1864039.0071993633</v>
      </c>
      <c r="I34" s="519">
        <f t="shared" si="6"/>
        <v>0</v>
      </c>
      <c r="J34" s="519"/>
      <c r="K34" s="520"/>
      <c r="L34" s="521">
        <f t="shared" si="17"/>
        <v>0</v>
      </c>
      <c r="M34" s="520"/>
      <c r="N34" s="521">
        <f t="shared" si="4"/>
        <v>0</v>
      </c>
      <c r="O34" s="521">
        <f t="shared" si="5"/>
        <v>0</v>
      </c>
      <c r="P34" s="522"/>
      <c r="Q34" s="216"/>
      <c r="R34" s="522"/>
      <c r="S34" s="522"/>
      <c r="T34" s="522"/>
      <c r="U34" s="243"/>
    </row>
    <row r="35" spans="2:21">
      <c r="B35" s="145" t="str">
        <f t="shared" si="0"/>
        <v/>
      </c>
      <c r="C35" s="495">
        <f>IF(D11="","-",+C34+1)</f>
        <v>2032</v>
      </c>
      <c r="D35" s="508">
        <f>IF(F34+SUM(E$17:E34)=D$10,F34,D$10-SUM(E$17:E34))</f>
        <v>10591174.111322209</v>
      </c>
      <c r="E35" s="509">
        <f t="shared" si="13"/>
        <v>613411.66666666663</v>
      </c>
      <c r="F35" s="510">
        <f t="shared" si="14"/>
        <v>9977762.4446555432</v>
      </c>
      <c r="G35" s="511">
        <f t="shared" si="15"/>
        <v>1793644.6364381695</v>
      </c>
      <c r="H35" s="477">
        <f t="shared" si="16"/>
        <v>1793644.6364381695</v>
      </c>
      <c r="I35" s="500">
        <f t="shared" si="6"/>
        <v>0</v>
      </c>
      <c r="J35" s="500"/>
      <c r="K35" s="512"/>
      <c r="L35" s="504">
        <f t="shared" si="17"/>
        <v>0</v>
      </c>
      <c r="M35" s="512"/>
      <c r="N35" s="504">
        <f t="shared" si="4"/>
        <v>0</v>
      </c>
      <c r="O35" s="504">
        <f t="shared" si="5"/>
        <v>0</v>
      </c>
      <c r="P35" s="278"/>
      <c r="R35" s="243"/>
      <c r="S35" s="243"/>
      <c r="T35" s="243"/>
      <c r="U35" s="243"/>
    </row>
    <row r="36" spans="2:21">
      <c r="B36" s="145" t="str">
        <f t="shared" si="0"/>
        <v/>
      </c>
      <c r="C36" s="495">
        <f>IF(D11="","-",+C35+1)</f>
        <v>2033</v>
      </c>
      <c r="D36" s="508">
        <f>IF(F35+SUM(E$17:E35)=D$10,F35,D$10-SUM(E$17:E35))</f>
        <v>9977762.4446555432</v>
      </c>
      <c r="E36" s="509">
        <f t="shared" si="13"/>
        <v>613411.66666666663</v>
      </c>
      <c r="F36" s="510">
        <f t="shared" si="14"/>
        <v>9364350.7779888771</v>
      </c>
      <c r="G36" s="511">
        <f t="shared" si="15"/>
        <v>1723250.2656769753</v>
      </c>
      <c r="H36" s="477">
        <f t="shared" si="16"/>
        <v>1723250.2656769753</v>
      </c>
      <c r="I36" s="500">
        <f t="shared" si="6"/>
        <v>0</v>
      </c>
      <c r="J36" s="500"/>
      <c r="K36" s="512"/>
      <c r="L36" s="504">
        <f t="shared" si="17"/>
        <v>0</v>
      </c>
      <c r="M36" s="512"/>
      <c r="N36" s="504">
        <f t="shared" si="4"/>
        <v>0</v>
      </c>
      <c r="O36" s="504">
        <f t="shared" si="5"/>
        <v>0</v>
      </c>
      <c r="P36" s="278"/>
      <c r="R36" s="243"/>
      <c r="S36" s="243"/>
      <c r="T36" s="243"/>
      <c r="U36" s="243"/>
    </row>
    <row r="37" spans="2:21">
      <c r="B37" s="145" t="str">
        <f t="shared" si="0"/>
        <v/>
      </c>
      <c r="C37" s="495">
        <f>IF(D11="","-",+C36+1)</f>
        <v>2034</v>
      </c>
      <c r="D37" s="508">
        <f>IF(F36+SUM(E$17:E36)=D$10,F36,D$10-SUM(E$17:E36))</f>
        <v>9364350.7779888771</v>
      </c>
      <c r="E37" s="509">
        <f t="shared" si="13"/>
        <v>613411.66666666663</v>
      </c>
      <c r="F37" s="510">
        <f t="shared" si="14"/>
        <v>8750939.1113222111</v>
      </c>
      <c r="G37" s="511">
        <f t="shared" si="15"/>
        <v>1652855.8949157819</v>
      </c>
      <c r="H37" s="477">
        <f t="shared" si="16"/>
        <v>1652855.8949157819</v>
      </c>
      <c r="I37" s="500">
        <f t="shared" si="6"/>
        <v>0</v>
      </c>
      <c r="J37" s="500"/>
      <c r="K37" s="512"/>
      <c r="L37" s="504">
        <f t="shared" si="17"/>
        <v>0</v>
      </c>
      <c r="M37" s="512"/>
      <c r="N37" s="504">
        <f t="shared" si="4"/>
        <v>0</v>
      </c>
      <c r="O37" s="504">
        <f t="shared" si="5"/>
        <v>0</v>
      </c>
      <c r="P37" s="278"/>
      <c r="R37" s="243"/>
      <c r="S37" s="243"/>
      <c r="T37" s="243"/>
      <c r="U37" s="243"/>
    </row>
    <row r="38" spans="2:21">
      <c r="B38" s="145" t="str">
        <f t="shared" si="0"/>
        <v/>
      </c>
      <c r="C38" s="495">
        <f>IF(D11="","-",+C37+1)</f>
        <v>2035</v>
      </c>
      <c r="D38" s="508">
        <f>IF(F37+SUM(E$17:E37)=D$10,F37,D$10-SUM(E$17:E37))</f>
        <v>8750939.1113222111</v>
      </c>
      <c r="E38" s="509">
        <f t="shared" si="13"/>
        <v>613411.66666666663</v>
      </c>
      <c r="F38" s="510">
        <f t="shared" si="14"/>
        <v>8137527.4446555441</v>
      </c>
      <c r="G38" s="511">
        <f t="shared" si="15"/>
        <v>1582461.5241545876</v>
      </c>
      <c r="H38" s="477">
        <f t="shared" si="16"/>
        <v>1582461.5241545876</v>
      </c>
      <c r="I38" s="500">
        <f t="shared" si="6"/>
        <v>0</v>
      </c>
      <c r="J38" s="500"/>
      <c r="K38" s="512"/>
      <c r="L38" s="504">
        <f t="shared" si="17"/>
        <v>0</v>
      </c>
      <c r="M38" s="512"/>
      <c r="N38" s="504">
        <f t="shared" si="4"/>
        <v>0</v>
      </c>
      <c r="O38" s="504">
        <f t="shared" si="5"/>
        <v>0</v>
      </c>
      <c r="P38" s="278"/>
      <c r="R38" s="243"/>
      <c r="S38" s="243"/>
      <c r="T38" s="243"/>
      <c r="U38" s="243"/>
    </row>
    <row r="39" spans="2:21">
      <c r="B39" s="145" t="str">
        <f t="shared" si="0"/>
        <v/>
      </c>
      <c r="C39" s="495">
        <f>IF(D11="","-",+C38+1)</f>
        <v>2036</v>
      </c>
      <c r="D39" s="508">
        <f>IF(F38+SUM(E$17:E38)=D$10,F38,D$10-SUM(E$17:E38))</f>
        <v>8137527.4446555441</v>
      </c>
      <c r="E39" s="509">
        <f t="shared" si="13"/>
        <v>613411.66666666663</v>
      </c>
      <c r="F39" s="510">
        <f t="shared" si="14"/>
        <v>7524115.7779888771</v>
      </c>
      <c r="G39" s="511">
        <f t="shared" si="15"/>
        <v>1512067.1533933938</v>
      </c>
      <c r="H39" s="477">
        <f t="shared" si="16"/>
        <v>1512067.1533933938</v>
      </c>
      <c r="I39" s="500">
        <f t="shared" si="6"/>
        <v>0</v>
      </c>
      <c r="J39" s="500"/>
      <c r="K39" s="512"/>
      <c r="L39" s="504">
        <f t="shared" si="17"/>
        <v>0</v>
      </c>
      <c r="M39" s="512"/>
      <c r="N39" s="504">
        <f t="shared" si="4"/>
        <v>0</v>
      </c>
      <c r="O39" s="504">
        <f t="shared" si="5"/>
        <v>0</v>
      </c>
      <c r="P39" s="278"/>
      <c r="R39" s="243"/>
      <c r="S39" s="243"/>
      <c r="T39" s="243"/>
      <c r="U39" s="243"/>
    </row>
    <row r="40" spans="2:21">
      <c r="B40" s="145" t="str">
        <f t="shared" si="0"/>
        <v/>
      </c>
      <c r="C40" s="495">
        <f>IF(D11="","-",+C39+1)</f>
        <v>2037</v>
      </c>
      <c r="D40" s="508">
        <f>IF(F39+SUM(E$17:E39)=D$10,F39,D$10-SUM(E$17:E39))</f>
        <v>7524115.7779888771</v>
      </c>
      <c r="E40" s="509">
        <f t="shared" si="13"/>
        <v>613411.66666666663</v>
      </c>
      <c r="F40" s="510">
        <f t="shared" si="14"/>
        <v>6910704.1113222102</v>
      </c>
      <c r="G40" s="511">
        <f t="shared" si="15"/>
        <v>1441672.7826321996</v>
      </c>
      <c r="H40" s="477">
        <f t="shared" si="16"/>
        <v>1441672.7826321996</v>
      </c>
      <c r="I40" s="500">
        <f t="shared" si="6"/>
        <v>0</v>
      </c>
      <c r="J40" s="500"/>
      <c r="K40" s="512"/>
      <c r="L40" s="504">
        <f t="shared" si="17"/>
        <v>0</v>
      </c>
      <c r="M40" s="512"/>
      <c r="N40" s="504">
        <f t="shared" si="4"/>
        <v>0</v>
      </c>
      <c r="O40" s="504">
        <f t="shared" si="5"/>
        <v>0</v>
      </c>
      <c r="P40" s="278"/>
      <c r="R40" s="243"/>
      <c r="S40" s="243"/>
      <c r="T40" s="243"/>
      <c r="U40" s="243"/>
    </row>
    <row r="41" spans="2:21">
      <c r="B41" s="145" t="str">
        <f t="shared" si="0"/>
        <v/>
      </c>
      <c r="C41" s="495">
        <f>IF(D12="","-",+C40+1)</f>
        <v>2038</v>
      </c>
      <c r="D41" s="508">
        <f>IF(F40+SUM(E$17:E40)=D$10,F40,D$10-SUM(E$17:E40))</f>
        <v>6910704.1113222102</v>
      </c>
      <c r="E41" s="509">
        <f t="shared" si="13"/>
        <v>613411.66666666663</v>
      </c>
      <c r="F41" s="510">
        <f t="shared" si="14"/>
        <v>6297292.4446555432</v>
      </c>
      <c r="G41" s="511">
        <f t="shared" si="15"/>
        <v>1371278.4118710058</v>
      </c>
      <c r="H41" s="477">
        <f t="shared" si="16"/>
        <v>1371278.4118710058</v>
      </c>
      <c r="I41" s="500">
        <f t="shared" si="6"/>
        <v>0</v>
      </c>
      <c r="J41" s="500"/>
      <c r="K41" s="512"/>
      <c r="L41" s="504">
        <f t="shared" si="17"/>
        <v>0</v>
      </c>
      <c r="M41" s="512"/>
      <c r="N41" s="504">
        <f t="shared" si="4"/>
        <v>0</v>
      </c>
      <c r="O41" s="504">
        <f t="shared" si="5"/>
        <v>0</v>
      </c>
      <c r="P41" s="278"/>
      <c r="R41" s="243"/>
      <c r="S41" s="243"/>
      <c r="T41" s="243"/>
      <c r="U41" s="243"/>
    </row>
    <row r="42" spans="2:21">
      <c r="B42" s="145" t="str">
        <f t="shared" si="0"/>
        <v/>
      </c>
      <c r="C42" s="495">
        <f>IF(D13="","-",+C41+1)</f>
        <v>2039</v>
      </c>
      <c r="D42" s="508">
        <f>IF(F41+SUM(E$17:E41)=D$10,F41,D$10-SUM(E$17:E41))</f>
        <v>6297292.4446555432</v>
      </c>
      <c r="E42" s="509">
        <f t="shared" si="13"/>
        <v>613411.66666666663</v>
      </c>
      <c r="F42" s="510">
        <f t="shared" si="14"/>
        <v>5683880.7779888762</v>
      </c>
      <c r="G42" s="511">
        <f t="shared" si="15"/>
        <v>1300884.0411098115</v>
      </c>
      <c r="H42" s="477">
        <f t="shared" si="16"/>
        <v>1300884.0411098115</v>
      </c>
      <c r="I42" s="500">
        <f t="shared" si="6"/>
        <v>0</v>
      </c>
      <c r="J42" s="500"/>
      <c r="K42" s="512"/>
      <c r="L42" s="504">
        <f t="shared" si="17"/>
        <v>0</v>
      </c>
      <c r="M42" s="512"/>
      <c r="N42" s="504">
        <f t="shared" si="4"/>
        <v>0</v>
      </c>
      <c r="O42" s="504">
        <f t="shared" si="5"/>
        <v>0</v>
      </c>
      <c r="P42" s="278"/>
      <c r="R42" s="243"/>
      <c r="S42" s="243"/>
      <c r="T42" s="243"/>
      <c r="U42" s="243"/>
    </row>
    <row r="43" spans="2:21">
      <c r="B43" s="145" t="str">
        <f t="shared" si="0"/>
        <v/>
      </c>
      <c r="C43" s="495">
        <f>IF(D11="","-",+C42+1)</f>
        <v>2040</v>
      </c>
      <c r="D43" s="508">
        <f>IF(F42+SUM(E$17:E42)=D$10,F42,D$10-SUM(E$17:E42))</f>
        <v>5683880.7779888762</v>
      </c>
      <c r="E43" s="509">
        <f t="shared" si="13"/>
        <v>613411.66666666663</v>
      </c>
      <c r="F43" s="510">
        <f t="shared" si="14"/>
        <v>5070469.1113222092</v>
      </c>
      <c r="G43" s="511">
        <f t="shared" si="15"/>
        <v>1230489.6703486177</v>
      </c>
      <c r="H43" s="477">
        <f t="shared" si="16"/>
        <v>1230489.6703486177</v>
      </c>
      <c r="I43" s="500">
        <f t="shared" si="6"/>
        <v>0</v>
      </c>
      <c r="J43" s="500"/>
      <c r="K43" s="512"/>
      <c r="L43" s="504">
        <f t="shared" si="17"/>
        <v>0</v>
      </c>
      <c r="M43" s="512"/>
      <c r="N43" s="504">
        <f t="shared" si="4"/>
        <v>0</v>
      </c>
      <c r="O43" s="504">
        <f t="shared" si="5"/>
        <v>0</v>
      </c>
      <c r="P43" s="278"/>
      <c r="R43" s="243"/>
      <c r="S43" s="243"/>
      <c r="T43" s="243"/>
      <c r="U43" s="243"/>
    </row>
    <row r="44" spans="2:21">
      <c r="B44" s="145" t="str">
        <f t="shared" si="0"/>
        <v/>
      </c>
      <c r="C44" s="495">
        <f>IF(D11="","-",+C43+1)</f>
        <v>2041</v>
      </c>
      <c r="D44" s="508">
        <f>IF(F43+SUM(E$17:E43)=D$10,F43,D$10-SUM(E$17:E43))</f>
        <v>5070469.1113222092</v>
      </c>
      <c r="E44" s="509">
        <f t="shared" si="13"/>
        <v>613411.66666666663</v>
      </c>
      <c r="F44" s="510">
        <f t="shared" si="14"/>
        <v>4457057.4446555423</v>
      </c>
      <c r="G44" s="511">
        <f t="shared" si="15"/>
        <v>1160095.2995874234</v>
      </c>
      <c r="H44" s="477">
        <f t="shared" si="16"/>
        <v>1160095.2995874234</v>
      </c>
      <c r="I44" s="500">
        <f t="shared" si="6"/>
        <v>0</v>
      </c>
      <c r="J44" s="500"/>
      <c r="K44" s="512"/>
      <c r="L44" s="504">
        <f t="shared" si="17"/>
        <v>0</v>
      </c>
      <c r="M44" s="512"/>
      <c r="N44" s="504">
        <f t="shared" si="4"/>
        <v>0</v>
      </c>
      <c r="O44" s="504">
        <f t="shared" si="5"/>
        <v>0</v>
      </c>
      <c r="P44" s="278"/>
      <c r="R44" s="243"/>
      <c r="S44" s="243"/>
      <c r="T44" s="243"/>
      <c r="U44" s="243"/>
    </row>
    <row r="45" spans="2:21">
      <c r="B45" s="145" t="str">
        <f t="shared" si="0"/>
        <v/>
      </c>
      <c r="C45" s="495">
        <f>IF(D11="","-",+C44+1)</f>
        <v>2042</v>
      </c>
      <c r="D45" s="508">
        <f>IF(F44+SUM(E$17:E44)=D$10,F44,D$10-SUM(E$17:E44))</f>
        <v>4457057.4446555423</v>
      </c>
      <c r="E45" s="509">
        <f t="shared" si="13"/>
        <v>613411.66666666663</v>
      </c>
      <c r="F45" s="510">
        <f t="shared" si="14"/>
        <v>3843645.7779888758</v>
      </c>
      <c r="G45" s="511">
        <f t="shared" si="15"/>
        <v>1089700.9288262296</v>
      </c>
      <c r="H45" s="477">
        <f t="shared" si="16"/>
        <v>1089700.9288262296</v>
      </c>
      <c r="I45" s="500">
        <f t="shared" si="6"/>
        <v>0</v>
      </c>
      <c r="J45" s="500"/>
      <c r="K45" s="512"/>
      <c r="L45" s="504">
        <f t="shared" si="17"/>
        <v>0</v>
      </c>
      <c r="M45" s="512"/>
      <c r="N45" s="504">
        <f t="shared" si="4"/>
        <v>0</v>
      </c>
      <c r="O45" s="504">
        <f t="shared" si="5"/>
        <v>0</v>
      </c>
      <c r="P45" s="278"/>
      <c r="R45" s="243"/>
      <c r="S45" s="243"/>
      <c r="T45" s="243"/>
      <c r="U45" s="243"/>
    </row>
    <row r="46" spans="2:21">
      <c r="B46" s="145" t="str">
        <f t="shared" si="0"/>
        <v/>
      </c>
      <c r="C46" s="495">
        <f>IF(D11="","-",+C45+1)</f>
        <v>2043</v>
      </c>
      <c r="D46" s="508">
        <f>IF(F45+SUM(E$17:E45)=D$10,F45,D$10-SUM(E$17:E45))</f>
        <v>3843645.7779888758</v>
      </c>
      <c r="E46" s="509">
        <f t="shared" si="13"/>
        <v>613411.66666666663</v>
      </c>
      <c r="F46" s="510">
        <f t="shared" si="14"/>
        <v>3230234.1113222092</v>
      </c>
      <c r="G46" s="511">
        <f t="shared" si="15"/>
        <v>1019306.5580650356</v>
      </c>
      <c r="H46" s="477">
        <f t="shared" si="16"/>
        <v>1019306.5580650356</v>
      </c>
      <c r="I46" s="500">
        <f t="shared" si="6"/>
        <v>0</v>
      </c>
      <c r="J46" s="500"/>
      <c r="K46" s="512"/>
      <c r="L46" s="504">
        <f t="shared" si="17"/>
        <v>0</v>
      </c>
      <c r="M46" s="512"/>
      <c r="N46" s="504">
        <f t="shared" si="4"/>
        <v>0</v>
      </c>
      <c r="O46" s="504">
        <f t="shared" si="5"/>
        <v>0</v>
      </c>
      <c r="P46" s="278"/>
      <c r="R46" s="243"/>
      <c r="S46" s="243"/>
      <c r="T46" s="243"/>
      <c r="U46" s="243"/>
    </row>
    <row r="47" spans="2:21">
      <c r="B47" s="145" t="str">
        <f t="shared" si="0"/>
        <v/>
      </c>
      <c r="C47" s="495">
        <f>IF(D11="","-",+C46+1)</f>
        <v>2044</v>
      </c>
      <c r="D47" s="508">
        <f>IF(F46+SUM(E$17:E46)=D$10,F46,D$10-SUM(E$17:E46))</f>
        <v>3230234.1113222092</v>
      </c>
      <c r="E47" s="509">
        <f t="shared" si="13"/>
        <v>613411.66666666663</v>
      </c>
      <c r="F47" s="510">
        <f t="shared" si="14"/>
        <v>2616822.4446555427</v>
      </c>
      <c r="G47" s="511">
        <f t="shared" si="15"/>
        <v>948912.1873038417</v>
      </c>
      <c r="H47" s="477">
        <f t="shared" si="16"/>
        <v>948912.1873038417</v>
      </c>
      <c r="I47" s="500">
        <f t="shared" si="6"/>
        <v>0</v>
      </c>
      <c r="J47" s="500"/>
      <c r="K47" s="512"/>
      <c r="L47" s="504">
        <f t="shared" si="17"/>
        <v>0</v>
      </c>
      <c r="M47" s="512"/>
      <c r="N47" s="504">
        <f t="shared" si="4"/>
        <v>0</v>
      </c>
      <c r="O47" s="504">
        <f t="shared" si="5"/>
        <v>0</v>
      </c>
      <c r="P47" s="278"/>
      <c r="R47" s="243"/>
      <c r="S47" s="243"/>
      <c r="T47" s="243"/>
      <c r="U47" s="243"/>
    </row>
    <row r="48" spans="2:21">
      <c r="B48" s="145" t="str">
        <f t="shared" si="0"/>
        <v/>
      </c>
      <c r="C48" s="495">
        <f>IF(D11="","-",+C47+1)</f>
        <v>2045</v>
      </c>
      <c r="D48" s="508">
        <f>IF(F47+SUM(E$17:E47)=D$10,F47,D$10-SUM(E$17:E47))</f>
        <v>2616822.4446555427</v>
      </c>
      <c r="E48" s="509">
        <f t="shared" si="13"/>
        <v>613411.66666666663</v>
      </c>
      <c r="F48" s="510">
        <f t="shared" si="14"/>
        <v>2003410.7779888762</v>
      </c>
      <c r="G48" s="511">
        <f t="shared" si="15"/>
        <v>878517.81654264766</v>
      </c>
      <c r="H48" s="477">
        <f t="shared" si="16"/>
        <v>878517.81654264766</v>
      </c>
      <c r="I48" s="500">
        <f t="shared" si="6"/>
        <v>0</v>
      </c>
      <c r="J48" s="500"/>
      <c r="K48" s="512"/>
      <c r="L48" s="504">
        <f t="shared" si="17"/>
        <v>0</v>
      </c>
      <c r="M48" s="512"/>
      <c r="N48" s="504">
        <f t="shared" si="4"/>
        <v>0</v>
      </c>
      <c r="O48" s="504">
        <f t="shared" si="5"/>
        <v>0</v>
      </c>
      <c r="P48" s="278"/>
      <c r="R48" s="243"/>
      <c r="S48" s="243"/>
      <c r="T48" s="243"/>
      <c r="U48" s="243"/>
    </row>
    <row r="49" spans="2:21">
      <c r="B49" s="145" t="str">
        <f t="shared" si="0"/>
        <v/>
      </c>
      <c r="C49" s="495">
        <f>IF(D11="","-",+C48+1)</f>
        <v>2046</v>
      </c>
      <c r="D49" s="508">
        <f>IF(F48+SUM(E$17:E48)=D$10,F48,D$10-SUM(E$17:E48))</f>
        <v>2003410.7779888762</v>
      </c>
      <c r="E49" s="509">
        <f t="shared" si="13"/>
        <v>613411.66666666663</v>
      </c>
      <c r="F49" s="510">
        <f t="shared" si="14"/>
        <v>1389999.1113222097</v>
      </c>
      <c r="G49" s="511">
        <f t="shared" si="15"/>
        <v>808123.44578145375</v>
      </c>
      <c r="H49" s="477">
        <f t="shared" si="16"/>
        <v>808123.44578145375</v>
      </c>
      <c r="I49" s="500">
        <f t="shared" si="6"/>
        <v>0</v>
      </c>
      <c r="J49" s="500"/>
      <c r="K49" s="512"/>
      <c r="L49" s="504">
        <f t="shared" si="17"/>
        <v>0</v>
      </c>
      <c r="M49" s="512"/>
      <c r="N49" s="504">
        <f t="shared" si="4"/>
        <v>0</v>
      </c>
      <c r="O49" s="504">
        <f t="shared" si="5"/>
        <v>0</v>
      </c>
      <c r="P49" s="278"/>
      <c r="R49" s="243"/>
      <c r="S49" s="243"/>
      <c r="T49" s="243"/>
      <c r="U49" s="243"/>
    </row>
    <row r="50" spans="2:21">
      <c r="B50" s="145" t="str">
        <f t="shared" si="0"/>
        <v/>
      </c>
      <c r="C50" s="495">
        <f>IF(D11="","-",+C49+1)</f>
        <v>2047</v>
      </c>
      <c r="D50" s="508">
        <f>IF(F49+SUM(E$17:E49)=D$10,F49,D$10-SUM(E$17:E49))</f>
        <v>1389999.1113222097</v>
      </c>
      <c r="E50" s="509">
        <f t="shared" si="13"/>
        <v>613411.66666666663</v>
      </c>
      <c r="F50" s="510">
        <f t="shared" si="14"/>
        <v>776587.44465554308</v>
      </c>
      <c r="G50" s="511">
        <f t="shared" si="15"/>
        <v>737729.07502025971</v>
      </c>
      <c r="H50" s="477">
        <f t="shared" si="16"/>
        <v>737729.07502025971</v>
      </c>
      <c r="I50" s="500">
        <f t="shared" si="6"/>
        <v>0</v>
      </c>
      <c r="J50" s="500"/>
      <c r="K50" s="512"/>
      <c r="L50" s="504">
        <f t="shared" si="17"/>
        <v>0</v>
      </c>
      <c r="M50" s="512"/>
      <c r="N50" s="504">
        <f t="shared" si="4"/>
        <v>0</v>
      </c>
      <c r="O50" s="504">
        <f t="shared" si="5"/>
        <v>0</v>
      </c>
      <c r="P50" s="278"/>
      <c r="R50" s="243"/>
      <c r="S50" s="243"/>
      <c r="T50" s="243"/>
      <c r="U50" s="243"/>
    </row>
    <row r="51" spans="2:21">
      <c r="B51" s="145" t="str">
        <f t="shared" si="0"/>
        <v/>
      </c>
      <c r="C51" s="495">
        <f>IF(D11="","-",+C50+1)</f>
        <v>2048</v>
      </c>
      <c r="D51" s="508">
        <f>IF(F50+SUM(E$17:E50)=D$10,F50,D$10-SUM(E$17:E50))</f>
        <v>776587.44465554308</v>
      </c>
      <c r="E51" s="509">
        <f t="shared" si="13"/>
        <v>613411.66666666663</v>
      </c>
      <c r="F51" s="510">
        <f t="shared" si="14"/>
        <v>163175.77798887645</v>
      </c>
      <c r="G51" s="511">
        <f t="shared" si="15"/>
        <v>667334.70425906579</v>
      </c>
      <c r="H51" s="477">
        <f t="shared" si="16"/>
        <v>667334.70425906579</v>
      </c>
      <c r="I51" s="500">
        <f t="shared" si="6"/>
        <v>0</v>
      </c>
      <c r="J51" s="500"/>
      <c r="K51" s="512"/>
      <c r="L51" s="504">
        <f t="shared" si="17"/>
        <v>0</v>
      </c>
      <c r="M51" s="512"/>
      <c r="N51" s="504">
        <f t="shared" si="4"/>
        <v>0</v>
      </c>
      <c r="O51" s="504">
        <f t="shared" si="5"/>
        <v>0</v>
      </c>
      <c r="P51" s="278"/>
      <c r="R51" s="243"/>
      <c r="S51" s="243"/>
      <c r="T51" s="243"/>
      <c r="U51" s="243"/>
    </row>
    <row r="52" spans="2:21">
      <c r="B52" s="145" t="str">
        <f t="shared" si="0"/>
        <v/>
      </c>
      <c r="C52" s="495">
        <f>IF(D11="","-",+C51+1)</f>
        <v>2049</v>
      </c>
      <c r="D52" s="508">
        <f>IF(F51+SUM(E$17:E51)=D$10,F51,D$10-SUM(E$17:E51))</f>
        <v>163175.77798887645</v>
      </c>
      <c r="E52" s="509">
        <f t="shared" si="13"/>
        <v>163175.77798887645</v>
      </c>
      <c r="F52" s="510">
        <f t="shared" si="14"/>
        <v>0</v>
      </c>
      <c r="G52" s="511">
        <f t="shared" si="15"/>
        <v>172538.70409477752</v>
      </c>
      <c r="H52" s="477">
        <f t="shared" si="16"/>
        <v>172538.70409477752</v>
      </c>
      <c r="I52" s="500">
        <f t="shared" si="6"/>
        <v>0</v>
      </c>
      <c r="J52" s="500"/>
      <c r="K52" s="512"/>
      <c r="L52" s="504">
        <f t="shared" si="17"/>
        <v>0</v>
      </c>
      <c r="M52" s="512"/>
      <c r="N52" s="504">
        <f t="shared" si="4"/>
        <v>0</v>
      </c>
      <c r="O52" s="504">
        <f t="shared" si="5"/>
        <v>0</v>
      </c>
      <c r="P52" s="278"/>
      <c r="R52" s="243"/>
      <c r="S52" s="243"/>
      <c r="T52" s="243"/>
      <c r="U52" s="243"/>
    </row>
    <row r="53" spans="2:21">
      <c r="B53" s="145" t="str">
        <f t="shared" si="0"/>
        <v/>
      </c>
      <c r="C53" s="495">
        <f>IF(D11="","-",+C52+1)</f>
        <v>2050</v>
      </c>
      <c r="D53" s="508">
        <f>IF(F52+SUM(E$17:E52)=D$10,F52,D$10-SUM(E$17:E52))</f>
        <v>0</v>
      </c>
      <c r="E53" s="509">
        <f t="shared" si="13"/>
        <v>0</v>
      </c>
      <c r="F53" s="510">
        <f t="shared" si="14"/>
        <v>0</v>
      </c>
      <c r="G53" s="511">
        <f t="shared" si="15"/>
        <v>0</v>
      </c>
      <c r="H53" s="477">
        <f t="shared" si="16"/>
        <v>0</v>
      </c>
      <c r="I53" s="500">
        <f t="shared" si="6"/>
        <v>0</v>
      </c>
      <c r="J53" s="500"/>
      <c r="K53" s="512"/>
      <c r="L53" s="504">
        <f t="shared" si="17"/>
        <v>0</v>
      </c>
      <c r="M53" s="512"/>
      <c r="N53" s="504">
        <f t="shared" si="4"/>
        <v>0</v>
      </c>
      <c r="O53" s="504">
        <f t="shared" si="5"/>
        <v>0</v>
      </c>
      <c r="P53" s="278"/>
      <c r="R53" s="243"/>
      <c r="S53" s="243"/>
      <c r="T53" s="243"/>
      <c r="U53" s="243"/>
    </row>
    <row r="54" spans="2:21">
      <c r="B54" s="145" t="str">
        <f t="shared" si="0"/>
        <v/>
      </c>
      <c r="C54" s="495">
        <f>IF(D11="","-",+C53+1)</f>
        <v>2051</v>
      </c>
      <c r="D54" s="508">
        <f>IF(F53+SUM(E$17:E53)=D$10,F53,D$10-SUM(E$17:E53))</f>
        <v>0</v>
      </c>
      <c r="E54" s="509">
        <f t="shared" si="13"/>
        <v>0</v>
      </c>
      <c r="F54" s="510">
        <f t="shared" si="14"/>
        <v>0</v>
      </c>
      <c r="G54" s="511">
        <f t="shared" si="15"/>
        <v>0</v>
      </c>
      <c r="H54" s="477">
        <f t="shared" si="16"/>
        <v>0</v>
      </c>
      <c r="I54" s="500">
        <f t="shared" si="6"/>
        <v>0</v>
      </c>
      <c r="J54" s="500"/>
      <c r="K54" s="512"/>
      <c r="L54" s="504">
        <f t="shared" si="17"/>
        <v>0</v>
      </c>
      <c r="M54" s="512"/>
      <c r="N54" s="504">
        <f t="shared" si="4"/>
        <v>0</v>
      </c>
      <c r="O54" s="504">
        <f t="shared" si="5"/>
        <v>0</v>
      </c>
      <c r="P54" s="278"/>
      <c r="R54" s="243"/>
      <c r="S54" s="243"/>
      <c r="T54" s="243"/>
      <c r="U54" s="243"/>
    </row>
    <row r="55" spans="2:21">
      <c r="B55" s="145" t="str">
        <f t="shared" si="0"/>
        <v/>
      </c>
      <c r="C55" s="495">
        <f>IF(D11="","-",+C54+1)</f>
        <v>2052</v>
      </c>
      <c r="D55" s="508">
        <f>IF(F54+SUM(E$17:E54)=D$10,F54,D$10-SUM(E$17:E54))</f>
        <v>0</v>
      </c>
      <c r="E55" s="509">
        <f t="shared" si="13"/>
        <v>0</v>
      </c>
      <c r="F55" s="510">
        <f t="shared" si="14"/>
        <v>0</v>
      </c>
      <c r="G55" s="511">
        <f t="shared" si="15"/>
        <v>0</v>
      </c>
      <c r="H55" s="477">
        <f t="shared" si="16"/>
        <v>0</v>
      </c>
      <c r="I55" s="500">
        <f t="shared" si="6"/>
        <v>0</v>
      </c>
      <c r="J55" s="500"/>
      <c r="K55" s="512"/>
      <c r="L55" s="504">
        <f t="shared" si="17"/>
        <v>0</v>
      </c>
      <c r="M55" s="512"/>
      <c r="N55" s="504">
        <f t="shared" si="4"/>
        <v>0</v>
      </c>
      <c r="O55" s="504">
        <f t="shared" si="5"/>
        <v>0</v>
      </c>
      <c r="P55" s="278"/>
      <c r="R55" s="243"/>
      <c r="S55" s="243"/>
      <c r="T55" s="243"/>
      <c r="U55" s="243"/>
    </row>
    <row r="56" spans="2:21">
      <c r="B56" s="145" t="str">
        <f t="shared" si="0"/>
        <v/>
      </c>
      <c r="C56" s="495">
        <f>IF(D11="","-",+C55+1)</f>
        <v>2053</v>
      </c>
      <c r="D56" s="508">
        <f>IF(F55+SUM(E$17:E55)=D$10,F55,D$10-SUM(E$17:E55))</f>
        <v>0</v>
      </c>
      <c r="E56" s="509">
        <f t="shared" si="13"/>
        <v>0</v>
      </c>
      <c r="F56" s="510">
        <f t="shared" si="14"/>
        <v>0</v>
      </c>
      <c r="G56" s="511">
        <f t="shared" si="15"/>
        <v>0</v>
      </c>
      <c r="H56" s="477">
        <f t="shared" si="16"/>
        <v>0</v>
      </c>
      <c r="I56" s="500">
        <f t="shared" si="6"/>
        <v>0</v>
      </c>
      <c r="J56" s="500"/>
      <c r="K56" s="512"/>
      <c r="L56" s="504">
        <f t="shared" si="17"/>
        <v>0</v>
      </c>
      <c r="M56" s="512"/>
      <c r="N56" s="504">
        <f t="shared" si="4"/>
        <v>0</v>
      </c>
      <c r="O56" s="504">
        <f t="shared" si="5"/>
        <v>0</v>
      </c>
      <c r="P56" s="278"/>
      <c r="R56" s="243"/>
      <c r="S56" s="243"/>
      <c r="T56" s="243"/>
      <c r="U56" s="243"/>
    </row>
    <row r="57" spans="2:21">
      <c r="B57" s="145" t="str">
        <f t="shared" si="0"/>
        <v/>
      </c>
      <c r="C57" s="495">
        <f>IF(D11="","-",+C56+1)</f>
        <v>2054</v>
      </c>
      <c r="D57" s="508">
        <f>IF(F56+SUM(E$17:E56)=D$10,F56,D$10-SUM(E$17:E56))</f>
        <v>0</v>
      </c>
      <c r="E57" s="509">
        <f t="shared" si="13"/>
        <v>0</v>
      </c>
      <c r="F57" s="510">
        <f t="shared" si="14"/>
        <v>0</v>
      </c>
      <c r="G57" s="511">
        <f t="shared" si="15"/>
        <v>0</v>
      </c>
      <c r="H57" s="477">
        <f t="shared" si="16"/>
        <v>0</v>
      </c>
      <c r="I57" s="500">
        <f t="shared" si="6"/>
        <v>0</v>
      </c>
      <c r="J57" s="500"/>
      <c r="K57" s="512"/>
      <c r="L57" s="504">
        <f t="shared" si="17"/>
        <v>0</v>
      </c>
      <c r="M57" s="512"/>
      <c r="N57" s="504">
        <f t="shared" si="4"/>
        <v>0</v>
      </c>
      <c r="O57" s="504">
        <f t="shared" si="5"/>
        <v>0</v>
      </c>
      <c r="P57" s="278"/>
      <c r="R57" s="243"/>
      <c r="S57" s="243"/>
      <c r="T57" s="243"/>
      <c r="U57" s="243"/>
    </row>
    <row r="58" spans="2:21">
      <c r="B58" s="145" t="str">
        <f t="shared" si="0"/>
        <v/>
      </c>
      <c r="C58" s="495">
        <f>IF(D11="","-",+C57+1)</f>
        <v>2055</v>
      </c>
      <c r="D58" s="508">
        <f>IF(F57+SUM(E$17:E57)=D$10,F57,D$10-SUM(E$17:E57))</f>
        <v>0</v>
      </c>
      <c r="E58" s="509">
        <f t="shared" si="13"/>
        <v>0</v>
      </c>
      <c r="F58" s="510">
        <f t="shared" si="14"/>
        <v>0</v>
      </c>
      <c r="G58" s="511">
        <f t="shared" si="15"/>
        <v>0</v>
      </c>
      <c r="H58" s="477">
        <f t="shared" si="16"/>
        <v>0</v>
      </c>
      <c r="I58" s="500">
        <f t="shared" si="6"/>
        <v>0</v>
      </c>
      <c r="J58" s="500"/>
      <c r="K58" s="512"/>
      <c r="L58" s="504">
        <f t="shared" si="17"/>
        <v>0</v>
      </c>
      <c r="M58" s="512"/>
      <c r="N58" s="504">
        <f t="shared" si="4"/>
        <v>0</v>
      </c>
      <c r="O58" s="504">
        <f t="shared" si="5"/>
        <v>0</v>
      </c>
      <c r="P58" s="278"/>
      <c r="R58" s="243"/>
      <c r="S58" s="243"/>
      <c r="T58" s="243"/>
      <c r="U58" s="243"/>
    </row>
    <row r="59" spans="2:21">
      <c r="B59" s="145" t="str">
        <f t="shared" si="0"/>
        <v/>
      </c>
      <c r="C59" s="495">
        <f>IF(D11="","-",+C58+1)</f>
        <v>2056</v>
      </c>
      <c r="D59" s="508">
        <f>IF(F58+SUM(E$17:E58)=D$10,F58,D$10-SUM(E$17:E58))</f>
        <v>0</v>
      </c>
      <c r="E59" s="509">
        <f t="shared" si="13"/>
        <v>0</v>
      </c>
      <c r="F59" s="510">
        <f t="shared" si="14"/>
        <v>0</v>
      </c>
      <c r="G59" s="511">
        <f t="shared" si="15"/>
        <v>0</v>
      </c>
      <c r="H59" s="477">
        <f t="shared" si="16"/>
        <v>0</v>
      </c>
      <c r="I59" s="500">
        <f t="shared" si="6"/>
        <v>0</v>
      </c>
      <c r="J59" s="500"/>
      <c r="K59" s="512"/>
      <c r="L59" s="504">
        <f t="shared" si="17"/>
        <v>0</v>
      </c>
      <c r="M59" s="512"/>
      <c r="N59" s="504">
        <f t="shared" si="4"/>
        <v>0</v>
      </c>
      <c r="O59" s="504">
        <f t="shared" si="5"/>
        <v>0</v>
      </c>
      <c r="P59" s="278"/>
      <c r="R59" s="243"/>
      <c r="S59" s="243"/>
      <c r="T59" s="243"/>
      <c r="U59" s="243"/>
    </row>
    <row r="60" spans="2:21">
      <c r="B60" s="145" t="str">
        <f t="shared" si="0"/>
        <v/>
      </c>
      <c r="C60" s="495">
        <f>IF(D11="","-",+C59+1)</f>
        <v>2057</v>
      </c>
      <c r="D60" s="508">
        <f>IF(F59+SUM(E$17:E59)=D$10,F59,D$10-SUM(E$17:E59))</f>
        <v>0</v>
      </c>
      <c r="E60" s="509">
        <f t="shared" si="13"/>
        <v>0</v>
      </c>
      <c r="F60" s="510">
        <f t="shared" si="14"/>
        <v>0</v>
      </c>
      <c r="G60" s="511">
        <f t="shared" si="15"/>
        <v>0</v>
      </c>
      <c r="H60" s="477">
        <f t="shared" si="16"/>
        <v>0</v>
      </c>
      <c r="I60" s="500">
        <f t="shared" si="6"/>
        <v>0</v>
      </c>
      <c r="J60" s="500"/>
      <c r="K60" s="512"/>
      <c r="L60" s="504">
        <f t="shared" si="17"/>
        <v>0</v>
      </c>
      <c r="M60" s="512"/>
      <c r="N60" s="504">
        <f t="shared" si="4"/>
        <v>0</v>
      </c>
      <c r="O60" s="504">
        <f t="shared" si="5"/>
        <v>0</v>
      </c>
      <c r="P60" s="278"/>
      <c r="R60" s="243"/>
      <c r="S60" s="243"/>
      <c r="T60" s="243"/>
      <c r="U60" s="243"/>
    </row>
    <row r="61" spans="2:21">
      <c r="B61" s="145" t="str">
        <f t="shared" si="0"/>
        <v/>
      </c>
      <c r="C61" s="495">
        <f>IF(D11="","-",+C60+1)</f>
        <v>2058</v>
      </c>
      <c r="D61" s="508">
        <f>IF(F60+SUM(E$17:E60)=D$10,F60,D$10-SUM(E$17:E60))</f>
        <v>0</v>
      </c>
      <c r="E61" s="509">
        <f t="shared" si="13"/>
        <v>0</v>
      </c>
      <c r="F61" s="510">
        <f t="shared" si="14"/>
        <v>0</v>
      </c>
      <c r="G61" s="511">
        <f t="shared" si="15"/>
        <v>0</v>
      </c>
      <c r="H61" s="477">
        <f t="shared" si="16"/>
        <v>0</v>
      </c>
      <c r="I61" s="500">
        <f t="shared" si="6"/>
        <v>0</v>
      </c>
      <c r="J61" s="500"/>
      <c r="K61" s="512"/>
      <c r="L61" s="504">
        <f t="shared" si="17"/>
        <v>0</v>
      </c>
      <c r="M61" s="512"/>
      <c r="N61" s="504">
        <f t="shared" si="4"/>
        <v>0</v>
      </c>
      <c r="O61" s="504">
        <f t="shared" si="5"/>
        <v>0</v>
      </c>
      <c r="P61" s="278"/>
      <c r="R61" s="243"/>
      <c r="S61" s="243"/>
      <c r="T61" s="243"/>
      <c r="U61" s="243"/>
    </row>
    <row r="62" spans="2:21">
      <c r="B62" s="145" t="str">
        <f t="shared" si="0"/>
        <v/>
      </c>
      <c r="C62" s="495">
        <f>IF(D11="","-",+C61+1)</f>
        <v>2059</v>
      </c>
      <c r="D62" s="508">
        <f>IF(F61+SUM(E$17:E61)=D$10,F61,D$10-SUM(E$17:E61))</f>
        <v>0</v>
      </c>
      <c r="E62" s="509">
        <f t="shared" si="13"/>
        <v>0</v>
      </c>
      <c r="F62" s="510">
        <f t="shared" si="14"/>
        <v>0</v>
      </c>
      <c r="G62" s="511">
        <f t="shared" si="15"/>
        <v>0</v>
      </c>
      <c r="H62" s="477">
        <f t="shared" si="16"/>
        <v>0</v>
      </c>
      <c r="I62" s="500">
        <f t="shared" si="6"/>
        <v>0</v>
      </c>
      <c r="J62" s="500"/>
      <c r="K62" s="512"/>
      <c r="L62" s="504">
        <f t="shared" si="17"/>
        <v>0</v>
      </c>
      <c r="M62" s="512"/>
      <c r="N62" s="504">
        <f t="shared" si="4"/>
        <v>0</v>
      </c>
      <c r="O62" s="504">
        <f t="shared" si="5"/>
        <v>0</v>
      </c>
      <c r="P62" s="278"/>
      <c r="R62" s="243"/>
      <c r="S62" s="243"/>
      <c r="T62" s="243"/>
      <c r="U62" s="243"/>
    </row>
    <row r="63" spans="2:21">
      <c r="B63" s="145" t="str">
        <f t="shared" si="0"/>
        <v/>
      </c>
      <c r="C63" s="495">
        <f>IF(D11="","-",+C62+1)</f>
        <v>2060</v>
      </c>
      <c r="D63" s="508">
        <f>IF(F62+SUM(E$17:E62)=D$10,F62,D$10-SUM(E$17:E62))</f>
        <v>0</v>
      </c>
      <c r="E63" s="509">
        <f t="shared" si="13"/>
        <v>0</v>
      </c>
      <c r="F63" s="510">
        <f t="shared" si="14"/>
        <v>0</v>
      </c>
      <c r="G63" s="511">
        <f t="shared" si="15"/>
        <v>0</v>
      </c>
      <c r="H63" s="477">
        <f t="shared" si="16"/>
        <v>0</v>
      </c>
      <c r="I63" s="500">
        <f t="shared" si="6"/>
        <v>0</v>
      </c>
      <c r="J63" s="500"/>
      <c r="K63" s="512"/>
      <c r="L63" s="504">
        <f t="shared" si="17"/>
        <v>0</v>
      </c>
      <c r="M63" s="512"/>
      <c r="N63" s="504">
        <f t="shared" si="4"/>
        <v>0</v>
      </c>
      <c r="O63" s="504">
        <f t="shared" si="5"/>
        <v>0</v>
      </c>
      <c r="P63" s="278"/>
      <c r="R63" s="243"/>
      <c r="S63" s="243"/>
      <c r="T63" s="243"/>
      <c r="U63" s="243"/>
    </row>
    <row r="64" spans="2:21">
      <c r="B64" s="145" t="str">
        <f t="shared" si="0"/>
        <v/>
      </c>
      <c r="C64" s="495">
        <f>IF(D11="","-",+C63+1)</f>
        <v>2061</v>
      </c>
      <c r="D64" s="508">
        <f>IF(F63+SUM(E$17:E63)=D$10,F63,D$10-SUM(E$17:E63))</f>
        <v>0</v>
      </c>
      <c r="E64" s="509">
        <f t="shared" si="13"/>
        <v>0</v>
      </c>
      <c r="F64" s="510">
        <f t="shared" si="14"/>
        <v>0</v>
      </c>
      <c r="G64" s="511">
        <f t="shared" si="15"/>
        <v>0</v>
      </c>
      <c r="H64" s="477">
        <f t="shared" si="16"/>
        <v>0</v>
      </c>
      <c r="I64" s="500">
        <f t="shared" si="6"/>
        <v>0</v>
      </c>
      <c r="J64" s="500"/>
      <c r="K64" s="512"/>
      <c r="L64" s="504">
        <f t="shared" si="17"/>
        <v>0</v>
      </c>
      <c r="M64" s="512"/>
      <c r="N64" s="504">
        <f t="shared" si="4"/>
        <v>0</v>
      </c>
      <c r="O64" s="504">
        <f t="shared" si="5"/>
        <v>0</v>
      </c>
      <c r="P64" s="278"/>
      <c r="R64" s="243"/>
      <c r="S64" s="243"/>
      <c r="T64" s="243"/>
      <c r="U64" s="243"/>
    </row>
    <row r="65" spans="2:21">
      <c r="B65" s="145" t="str">
        <f t="shared" si="0"/>
        <v/>
      </c>
      <c r="C65" s="495">
        <f>IF(D11="","-",+C64+1)</f>
        <v>2062</v>
      </c>
      <c r="D65" s="508">
        <f>IF(F64+SUM(E$17:E64)=D$10,F64,D$10-SUM(E$17:E64))</f>
        <v>0</v>
      </c>
      <c r="E65" s="509">
        <f t="shared" si="13"/>
        <v>0</v>
      </c>
      <c r="F65" s="510">
        <f t="shared" si="14"/>
        <v>0</v>
      </c>
      <c r="G65" s="511">
        <f t="shared" si="15"/>
        <v>0</v>
      </c>
      <c r="H65" s="477">
        <f t="shared" si="16"/>
        <v>0</v>
      </c>
      <c r="I65" s="500">
        <f t="shared" si="6"/>
        <v>0</v>
      </c>
      <c r="J65" s="500"/>
      <c r="K65" s="512"/>
      <c r="L65" s="504">
        <f t="shared" si="17"/>
        <v>0</v>
      </c>
      <c r="M65" s="512"/>
      <c r="N65" s="504">
        <f t="shared" si="4"/>
        <v>0</v>
      </c>
      <c r="O65" s="504">
        <f t="shared" si="5"/>
        <v>0</v>
      </c>
      <c r="P65" s="278"/>
      <c r="R65" s="243"/>
      <c r="S65" s="243"/>
      <c r="T65" s="243"/>
      <c r="U65" s="243"/>
    </row>
    <row r="66" spans="2:21">
      <c r="B66" s="145" t="str">
        <f t="shared" si="0"/>
        <v/>
      </c>
      <c r="C66" s="495">
        <f>IF(D11="","-",+C65+1)</f>
        <v>2063</v>
      </c>
      <c r="D66" s="508">
        <f>IF(F65+SUM(E$17:E65)=D$10,F65,D$10-SUM(E$17:E65))</f>
        <v>0</v>
      </c>
      <c r="E66" s="509">
        <f t="shared" si="13"/>
        <v>0</v>
      </c>
      <c r="F66" s="510">
        <f t="shared" si="14"/>
        <v>0</v>
      </c>
      <c r="G66" s="511">
        <f t="shared" si="15"/>
        <v>0</v>
      </c>
      <c r="H66" s="477">
        <f t="shared" si="16"/>
        <v>0</v>
      </c>
      <c r="I66" s="500">
        <f t="shared" si="6"/>
        <v>0</v>
      </c>
      <c r="J66" s="500"/>
      <c r="K66" s="512"/>
      <c r="L66" s="504">
        <f t="shared" si="17"/>
        <v>0</v>
      </c>
      <c r="M66" s="512"/>
      <c r="N66" s="504">
        <f t="shared" si="4"/>
        <v>0</v>
      </c>
      <c r="O66" s="504">
        <f t="shared" si="5"/>
        <v>0</v>
      </c>
      <c r="P66" s="278"/>
      <c r="R66" s="243"/>
      <c r="S66" s="243"/>
      <c r="T66" s="243"/>
      <c r="U66" s="243"/>
    </row>
    <row r="67" spans="2:21">
      <c r="B67" s="145" t="str">
        <f t="shared" si="0"/>
        <v/>
      </c>
      <c r="C67" s="495">
        <f>IF(D11="","-",+C66+1)</f>
        <v>2064</v>
      </c>
      <c r="D67" s="508">
        <f>IF(F66+SUM(E$17:E66)=D$10,F66,D$10-SUM(E$17:E66))</f>
        <v>0</v>
      </c>
      <c r="E67" s="509">
        <f t="shared" si="13"/>
        <v>0</v>
      </c>
      <c r="F67" s="510">
        <f t="shared" si="14"/>
        <v>0</v>
      </c>
      <c r="G67" s="511">
        <f t="shared" si="15"/>
        <v>0</v>
      </c>
      <c r="H67" s="477">
        <f t="shared" si="16"/>
        <v>0</v>
      </c>
      <c r="I67" s="500">
        <f t="shared" si="6"/>
        <v>0</v>
      </c>
      <c r="J67" s="500"/>
      <c r="K67" s="512"/>
      <c r="L67" s="504">
        <f t="shared" si="17"/>
        <v>0</v>
      </c>
      <c r="M67" s="512"/>
      <c r="N67" s="504">
        <f t="shared" si="4"/>
        <v>0</v>
      </c>
      <c r="O67" s="504">
        <f t="shared" si="5"/>
        <v>0</v>
      </c>
      <c r="P67" s="278"/>
      <c r="R67" s="243"/>
      <c r="S67" s="243"/>
      <c r="T67" s="243"/>
      <c r="U67" s="243"/>
    </row>
    <row r="68" spans="2:21">
      <c r="B68" s="145" t="str">
        <f t="shared" si="0"/>
        <v/>
      </c>
      <c r="C68" s="495">
        <f>IF(D11="","-",+C67+1)</f>
        <v>2065</v>
      </c>
      <c r="D68" s="508">
        <f>IF(F67+SUM(E$17:E67)=D$10,F67,D$10-SUM(E$17:E67))</f>
        <v>0</v>
      </c>
      <c r="E68" s="509">
        <f t="shared" si="13"/>
        <v>0</v>
      </c>
      <c r="F68" s="510">
        <f t="shared" si="14"/>
        <v>0</v>
      </c>
      <c r="G68" s="511">
        <f t="shared" si="15"/>
        <v>0</v>
      </c>
      <c r="H68" s="477">
        <f t="shared" si="16"/>
        <v>0</v>
      </c>
      <c r="I68" s="500">
        <f t="shared" si="6"/>
        <v>0</v>
      </c>
      <c r="J68" s="500"/>
      <c r="K68" s="512"/>
      <c r="L68" s="504">
        <f t="shared" si="17"/>
        <v>0</v>
      </c>
      <c r="M68" s="512"/>
      <c r="N68" s="504">
        <f t="shared" si="4"/>
        <v>0</v>
      </c>
      <c r="O68" s="504">
        <f t="shared" si="5"/>
        <v>0</v>
      </c>
      <c r="P68" s="278"/>
      <c r="R68" s="243"/>
      <c r="S68" s="243"/>
      <c r="T68" s="243"/>
      <c r="U68" s="243"/>
    </row>
    <row r="69" spans="2:21">
      <c r="B69" s="145" t="str">
        <f t="shared" si="0"/>
        <v/>
      </c>
      <c r="C69" s="495">
        <f>IF(D11="","-",+C68+1)</f>
        <v>2066</v>
      </c>
      <c r="D69" s="508">
        <f>IF(F68+SUM(E$17:E68)=D$10,F68,D$10-SUM(E$17:E68))</f>
        <v>0</v>
      </c>
      <c r="E69" s="509">
        <f t="shared" si="13"/>
        <v>0</v>
      </c>
      <c r="F69" s="510">
        <f t="shared" si="14"/>
        <v>0</v>
      </c>
      <c r="G69" s="511">
        <f t="shared" si="15"/>
        <v>0</v>
      </c>
      <c r="H69" s="477">
        <f t="shared" si="16"/>
        <v>0</v>
      </c>
      <c r="I69" s="500">
        <f t="shared" si="6"/>
        <v>0</v>
      </c>
      <c r="J69" s="500"/>
      <c r="K69" s="512"/>
      <c r="L69" s="504">
        <f t="shared" si="17"/>
        <v>0</v>
      </c>
      <c r="M69" s="512"/>
      <c r="N69" s="504">
        <f t="shared" si="4"/>
        <v>0</v>
      </c>
      <c r="O69" s="504">
        <f t="shared" si="5"/>
        <v>0</v>
      </c>
      <c r="P69" s="278"/>
      <c r="R69" s="243"/>
      <c r="S69" s="243"/>
      <c r="T69" s="243"/>
      <c r="U69" s="243"/>
    </row>
    <row r="70" spans="2:21">
      <c r="B70" s="145" t="str">
        <f t="shared" si="0"/>
        <v/>
      </c>
      <c r="C70" s="495">
        <f>IF(D11="","-",+C69+1)</f>
        <v>2067</v>
      </c>
      <c r="D70" s="508">
        <f>IF(F69+SUM(E$17:E69)=D$10,F69,D$10-SUM(E$17:E69))</f>
        <v>0</v>
      </c>
      <c r="E70" s="509">
        <f t="shared" si="13"/>
        <v>0</v>
      </c>
      <c r="F70" s="510">
        <f t="shared" si="14"/>
        <v>0</v>
      </c>
      <c r="G70" s="511">
        <f t="shared" si="15"/>
        <v>0</v>
      </c>
      <c r="H70" s="477">
        <f t="shared" si="16"/>
        <v>0</v>
      </c>
      <c r="I70" s="500">
        <f t="shared" si="6"/>
        <v>0</v>
      </c>
      <c r="J70" s="500"/>
      <c r="K70" s="512"/>
      <c r="L70" s="504">
        <f t="shared" si="17"/>
        <v>0</v>
      </c>
      <c r="M70" s="512"/>
      <c r="N70" s="504">
        <f t="shared" si="4"/>
        <v>0</v>
      </c>
      <c r="O70" s="504">
        <f t="shared" si="5"/>
        <v>0</v>
      </c>
      <c r="P70" s="278"/>
      <c r="R70" s="243"/>
      <c r="S70" s="243"/>
      <c r="T70" s="243"/>
      <c r="U70" s="243"/>
    </row>
    <row r="71" spans="2:21">
      <c r="B71" s="145" t="str">
        <f t="shared" si="0"/>
        <v/>
      </c>
      <c r="C71" s="495">
        <f>IF(D11="","-",+C70+1)</f>
        <v>2068</v>
      </c>
      <c r="D71" s="508">
        <f>IF(F70+SUM(E$17:E70)=D$10,F70,D$10-SUM(E$17:E70))</f>
        <v>0</v>
      </c>
      <c r="E71" s="509">
        <f t="shared" si="13"/>
        <v>0</v>
      </c>
      <c r="F71" s="510">
        <f t="shared" si="14"/>
        <v>0</v>
      </c>
      <c r="G71" s="511">
        <f t="shared" si="15"/>
        <v>0</v>
      </c>
      <c r="H71" s="477">
        <f t="shared" si="16"/>
        <v>0</v>
      </c>
      <c r="I71" s="500">
        <f t="shared" si="6"/>
        <v>0</v>
      </c>
      <c r="J71" s="500"/>
      <c r="K71" s="512"/>
      <c r="L71" s="504">
        <f t="shared" si="17"/>
        <v>0</v>
      </c>
      <c r="M71" s="512"/>
      <c r="N71" s="504">
        <f t="shared" si="4"/>
        <v>0</v>
      </c>
      <c r="O71" s="504">
        <f t="shared" si="5"/>
        <v>0</v>
      </c>
      <c r="P71" s="278"/>
      <c r="R71" s="243"/>
      <c r="S71" s="243"/>
      <c r="T71" s="243"/>
      <c r="U71" s="243"/>
    </row>
    <row r="72" spans="2:21">
      <c r="B72" s="145" t="str">
        <f t="shared" si="0"/>
        <v/>
      </c>
      <c r="C72" s="495">
        <f>IF(D11="","-",+C71+1)</f>
        <v>2069</v>
      </c>
      <c r="D72" s="508">
        <f>IF(F71+SUM(E$17:E71)=D$10,F71,D$10-SUM(E$17:E71))</f>
        <v>0</v>
      </c>
      <c r="E72" s="509">
        <f t="shared" si="13"/>
        <v>0</v>
      </c>
      <c r="F72" s="510">
        <f t="shared" si="14"/>
        <v>0</v>
      </c>
      <c r="G72" s="511">
        <f t="shared" si="15"/>
        <v>0</v>
      </c>
      <c r="H72" s="477">
        <f t="shared" si="16"/>
        <v>0</v>
      </c>
      <c r="I72" s="500">
        <f t="shared" si="6"/>
        <v>0</v>
      </c>
      <c r="J72" s="500"/>
      <c r="K72" s="512"/>
      <c r="L72" s="504">
        <f t="shared" si="17"/>
        <v>0</v>
      </c>
      <c r="M72" s="512"/>
      <c r="N72" s="504">
        <f t="shared" si="4"/>
        <v>0</v>
      </c>
      <c r="O72" s="504">
        <f t="shared" si="5"/>
        <v>0</v>
      </c>
      <c r="P72" s="278"/>
      <c r="R72" s="243"/>
      <c r="S72" s="243"/>
      <c r="T72" s="243"/>
      <c r="U72" s="243"/>
    </row>
    <row r="73" spans="2:21" ht="13.5" thickBot="1">
      <c r="B73" s="145" t="str">
        <f t="shared" si="0"/>
        <v/>
      </c>
      <c r="C73" s="524">
        <f>IF(D11="","-",+C72+1)</f>
        <v>2070</v>
      </c>
      <c r="D73" s="525">
        <f>IF(F72+SUM(E$17:E72)=D$10,F72,D$10-SUM(E$17:E72))</f>
        <v>0</v>
      </c>
      <c r="E73" s="526">
        <f t="shared" si="13"/>
        <v>0</v>
      </c>
      <c r="F73" s="527">
        <f t="shared" si="14"/>
        <v>0</v>
      </c>
      <c r="G73" s="527">
        <f t="shared" si="15"/>
        <v>0</v>
      </c>
      <c r="H73" s="527">
        <f t="shared" si="16"/>
        <v>0</v>
      </c>
      <c r="I73" s="529">
        <f t="shared" si="6"/>
        <v>0</v>
      </c>
      <c r="J73" s="500"/>
      <c r="K73" s="530"/>
      <c r="L73" s="531">
        <f t="shared" si="17"/>
        <v>0</v>
      </c>
      <c r="M73" s="530"/>
      <c r="N73" s="531">
        <f t="shared" si="4"/>
        <v>0</v>
      </c>
      <c r="O73" s="531">
        <f t="shared" si="5"/>
        <v>0</v>
      </c>
      <c r="P73" s="278"/>
      <c r="R73" s="243"/>
      <c r="S73" s="243"/>
      <c r="T73" s="243"/>
      <c r="U73" s="243"/>
    </row>
    <row r="74" spans="2:21">
      <c r="C74" s="349" t="s">
        <v>75</v>
      </c>
      <c r="D74" s="294"/>
      <c r="E74" s="294">
        <f>SUM(E17:E73)</f>
        <v>20242585.000000004</v>
      </c>
      <c r="F74" s="294"/>
      <c r="G74" s="294">
        <f>SUM(G17:G73)</f>
        <v>60426527.370246209</v>
      </c>
      <c r="H74" s="294">
        <f>SUM(H17:H73)</f>
        <v>60426527.370246209</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438" t="str">
        <f ca="1">P1</f>
        <v>OKT Project 11 of 23</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2020</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2459032.5411911216</v>
      </c>
      <c r="N88" s="544">
        <f>IF(J93&lt;D11,0,VLOOKUP(J93,C17:O73,11))</f>
        <v>2459032.5411911216</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2578482.7265587896</v>
      </c>
      <c r="N89" s="548">
        <f>IF(J93&lt;D11,0,VLOOKUP(J93,C100:P155,7))</f>
        <v>2578482.7265587896</v>
      </c>
      <c r="O89" s="549">
        <f>+N89-M89</f>
        <v>0</v>
      </c>
      <c r="P89" s="243"/>
      <c r="Q89" s="243"/>
      <c r="R89" s="243"/>
      <c r="S89" s="243"/>
      <c r="T89" s="243"/>
      <c r="U89" s="243"/>
    </row>
    <row r="90" spans="1:21" ht="13.5" thickBot="1">
      <c r="C90" s="454" t="s">
        <v>82</v>
      </c>
      <c r="D90" s="550" t="str">
        <f>+D7</f>
        <v>Grady Customer Connection</v>
      </c>
      <c r="E90" s="243"/>
      <c r="F90" s="243"/>
      <c r="G90" s="243"/>
      <c r="H90" s="243"/>
      <c r="I90" s="325"/>
      <c r="J90" s="325"/>
      <c r="K90" s="551"/>
      <c r="L90" s="552" t="s">
        <v>135</v>
      </c>
      <c r="M90" s="553">
        <f>+M89-M88</f>
        <v>119450.18536766805</v>
      </c>
      <c r="N90" s="553">
        <f>+N89-N88</f>
        <v>119450.18536766805</v>
      </c>
      <c r="O90" s="554">
        <f>+O89-O88</f>
        <v>0</v>
      </c>
      <c r="P90" s="243"/>
      <c r="Q90" s="243"/>
      <c r="R90" s="243"/>
      <c r="S90" s="243"/>
      <c r="T90" s="243"/>
      <c r="U90" s="243"/>
    </row>
    <row r="91" spans="1:21" ht="13.5" thickBot="1">
      <c r="C91" s="532"/>
      <c r="D91" s="626" t="str">
        <f>IF(D8="","",D8)</f>
        <v>***Sch. 11 recovery commenced in 2015 rate year***</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TP2013002</v>
      </c>
      <c r="E92" s="558"/>
      <c r="F92" s="558"/>
      <c r="G92" s="558"/>
      <c r="H92" s="558"/>
      <c r="I92" s="558"/>
      <c r="J92" s="558"/>
      <c r="K92" s="560"/>
      <c r="P92" s="468"/>
      <c r="Q92" s="243"/>
      <c r="R92" s="243"/>
      <c r="S92" s="243"/>
      <c r="T92" s="243"/>
      <c r="U92" s="243"/>
    </row>
    <row r="93" spans="1:21">
      <c r="C93" s="472" t="s">
        <v>49</v>
      </c>
      <c r="D93" s="622">
        <v>20242585</v>
      </c>
      <c r="E93" s="248" t="s">
        <v>84</v>
      </c>
      <c r="H93" s="408"/>
      <c r="I93" s="408"/>
      <c r="J93" s="471">
        <f>+'OKT.WS.G.BPU.ATRR.True-up'!M16</f>
        <v>2020</v>
      </c>
      <c r="K93" s="467"/>
      <c r="L93" s="294" t="s">
        <v>85</v>
      </c>
      <c r="P93" s="278"/>
      <c r="Q93" s="243"/>
      <c r="R93" s="243"/>
      <c r="S93" s="243"/>
      <c r="T93" s="243"/>
      <c r="U93" s="243"/>
    </row>
    <row r="94" spans="1:21">
      <c r="C94" s="472" t="s">
        <v>52</v>
      </c>
      <c r="D94" s="561">
        <f>D11</f>
        <v>2014</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f>D12</f>
        <v>11</v>
      </c>
      <c r="E95" s="472" t="s">
        <v>55</v>
      </c>
      <c r="F95" s="408"/>
      <c r="G95" s="408"/>
      <c r="J95" s="476">
        <f>'OKT.WS.G.BPU.ATRR.True-up'!$F$81</f>
        <v>0.11475877389767174</v>
      </c>
      <c r="K95" s="413"/>
      <c r="L95" s="145" t="s">
        <v>86</v>
      </c>
      <c r="P95" s="278"/>
      <c r="Q95" s="243"/>
      <c r="R95" s="243"/>
      <c r="S95" s="243"/>
      <c r="T95" s="243"/>
      <c r="U95" s="243"/>
    </row>
    <row r="96" spans="1:21">
      <c r="C96" s="472" t="s">
        <v>57</v>
      </c>
      <c r="D96" s="474">
        <f>'OKT.WS.G.BPU.ATRR.True-up'!F$93</f>
        <v>21</v>
      </c>
      <c r="E96" s="472" t="s">
        <v>58</v>
      </c>
      <c r="F96" s="408"/>
      <c r="G96" s="408"/>
      <c r="J96" s="476">
        <f>IF(H88="",J95,'OKT.WS.G.BPU.ATRR.True-up'!$F$80)</f>
        <v>0.11475877389767174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963932.61904761905</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c r="Q99" s="243"/>
      <c r="R99" s="243"/>
      <c r="S99" s="243"/>
      <c r="T99" s="243"/>
      <c r="U99" s="243"/>
    </row>
    <row r="100" spans="1:21">
      <c r="C100" s="495">
        <f>IF(D94= "","-",D94)</f>
        <v>2014</v>
      </c>
      <c r="D100" s="349"/>
      <c r="E100" s="511"/>
      <c r="F100" s="510"/>
      <c r="G100" s="605"/>
      <c r="H100" s="605"/>
      <c r="I100" s="605"/>
      <c r="J100" s="504"/>
      <c r="K100" s="504"/>
      <c r="L100" s="501"/>
      <c r="M100" s="502">
        <f t="shared" ref="M100:M131" si="18">IF(L100&lt;&gt;0,+H100-L100,0)</f>
        <v>0</v>
      </c>
      <c r="N100" s="501"/>
      <c r="O100" s="503">
        <f t="shared" ref="O100:O131" si="19">IF(N100&lt;&gt;0,+I100-N100,0)</f>
        <v>0</v>
      </c>
      <c r="P100" s="503">
        <f t="shared" ref="P100:P131" si="20">+O100-M100</f>
        <v>0</v>
      </c>
      <c r="Q100" s="243"/>
      <c r="R100" s="243"/>
      <c r="S100" s="243"/>
      <c r="T100" s="243"/>
      <c r="U100" s="243"/>
    </row>
    <row r="101" spans="1:21">
      <c r="B101" s="145" t="str">
        <f t="shared" ref="B101:B155" si="21">IF(D101=F100,"","IU")</f>
        <v>IU</v>
      </c>
      <c r="C101" s="495">
        <f>IF(D94="","-",+C100+1)</f>
        <v>2015</v>
      </c>
      <c r="D101" s="496">
        <v>19016226.275360011</v>
      </c>
      <c r="E101" s="498">
        <v>416545.33333333331</v>
      </c>
      <c r="F101" s="505">
        <v>18599680.942026678</v>
      </c>
      <c r="G101" s="505">
        <v>18807953.608693346</v>
      </c>
      <c r="H101" s="498">
        <v>2510424.0615898012</v>
      </c>
      <c r="I101" s="499">
        <v>2510424.0615898012</v>
      </c>
      <c r="J101" s="504">
        <v>0</v>
      </c>
      <c r="K101" s="504"/>
      <c r="L101" s="506">
        <f t="shared" ref="L101:L106" si="22">H101</f>
        <v>2510424.0615898012</v>
      </c>
      <c r="M101" s="504">
        <f t="shared" ref="M101:M106" si="23">IF(L101&lt;&gt;0,+H101-L101,0)</f>
        <v>0</v>
      </c>
      <c r="N101" s="506">
        <f t="shared" ref="N101:N106" si="24">I101</f>
        <v>2510424.0615898012</v>
      </c>
      <c r="O101" s="504">
        <f t="shared" si="19"/>
        <v>0</v>
      </c>
      <c r="P101" s="504">
        <f t="shared" si="20"/>
        <v>0</v>
      </c>
      <c r="Q101" s="243"/>
      <c r="R101" s="243"/>
      <c r="S101" s="243"/>
      <c r="T101" s="243"/>
      <c r="U101" s="243"/>
    </row>
    <row r="102" spans="1:21">
      <c r="B102" s="145" t="str">
        <f t="shared" si="21"/>
        <v>IU</v>
      </c>
      <c r="C102" s="495">
        <f>IF(D94="","-",+C101+1)</f>
        <v>2016</v>
      </c>
      <c r="D102" s="496">
        <v>19825461.666666668</v>
      </c>
      <c r="E102" s="498">
        <v>396902.09803921566</v>
      </c>
      <c r="F102" s="505">
        <v>19428559.568627451</v>
      </c>
      <c r="G102" s="505">
        <v>19627010.617647059</v>
      </c>
      <c r="H102" s="498">
        <v>2523870.6286029778</v>
      </c>
      <c r="I102" s="499">
        <v>2523870.6286029778</v>
      </c>
      <c r="J102" s="504">
        <f>+I102-H102</f>
        <v>0</v>
      </c>
      <c r="K102" s="504"/>
      <c r="L102" s="506">
        <f t="shared" si="22"/>
        <v>2523870.6286029778</v>
      </c>
      <c r="M102" s="504">
        <f t="shared" si="23"/>
        <v>0</v>
      </c>
      <c r="N102" s="506">
        <f t="shared" si="24"/>
        <v>2523870.6286029778</v>
      </c>
      <c r="O102" s="504">
        <f>IF(N102&lt;&gt;0,+I102-N102,0)</f>
        <v>0</v>
      </c>
      <c r="P102" s="504">
        <f>+O102-M102</f>
        <v>0</v>
      </c>
      <c r="Q102" s="243"/>
      <c r="R102" s="243"/>
      <c r="S102" s="243"/>
      <c r="T102" s="243"/>
      <c r="U102" s="243"/>
    </row>
    <row r="103" spans="1:21">
      <c r="B103" s="145" t="str">
        <f t="shared" si="21"/>
        <v>IU</v>
      </c>
      <c r="C103" s="495">
        <f>IF(D94="","-",+C102+1)</f>
        <v>2017</v>
      </c>
      <c r="D103" s="496">
        <v>19429137.568627451</v>
      </c>
      <c r="E103" s="498">
        <v>506064.625</v>
      </c>
      <c r="F103" s="505">
        <v>18923072.943627451</v>
      </c>
      <c r="G103" s="505">
        <v>19176105.256127451</v>
      </c>
      <c r="H103" s="498">
        <v>2756109.5074390932</v>
      </c>
      <c r="I103" s="499">
        <v>2756109.5074390932</v>
      </c>
      <c r="J103" s="504">
        <v>0</v>
      </c>
      <c r="K103" s="504"/>
      <c r="L103" s="506">
        <f t="shared" si="22"/>
        <v>2756109.5074390932</v>
      </c>
      <c r="M103" s="504">
        <f t="shared" si="23"/>
        <v>0</v>
      </c>
      <c r="N103" s="506">
        <f t="shared" si="24"/>
        <v>2756109.5074390932</v>
      </c>
      <c r="O103" s="504">
        <f>IF(N103&lt;&gt;0,+I103-N103,0)</f>
        <v>0</v>
      </c>
      <c r="P103" s="504">
        <f>+O103-M103</f>
        <v>0</v>
      </c>
      <c r="Q103" s="243"/>
      <c r="R103" s="243"/>
      <c r="S103" s="243"/>
      <c r="T103" s="243"/>
      <c r="U103" s="243"/>
    </row>
    <row r="104" spans="1:21">
      <c r="B104" s="145" t="str">
        <f t="shared" si="21"/>
        <v/>
      </c>
      <c r="C104" s="495">
        <f>IF(D94="","-",+C103+1)</f>
        <v>2018</v>
      </c>
      <c r="D104" s="496">
        <v>18923072.943627451</v>
      </c>
      <c r="E104" s="498">
        <v>562294.02777777775</v>
      </c>
      <c r="F104" s="505">
        <v>18360778.915849674</v>
      </c>
      <c r="G104" s="505">
        <v>18641925.929738563</v>
      </c>
      <c r="H104" s="498">
        <v>2530181.3848446766</v>
      </c>
      <c r="I104" s="499">
        <v>2530181.3848446766</v>
      </c>
      <c r="J104" s="504">
        <f t="shared" ref="J104:J155" si="25">+I104-H104</f>
        <v>0</v>
      </c>
      <c r="K104" s="504"/>
      <c r="L104" s="506">
        <f t="shared" si="22"/>
        <v>2530181.3848446766</v>
      </c>
      <c r="M104" s="504">
        <f t="shared" si="23"/>
        <v>0</v>
      </c>
      <c r="N104" s="506">
        <f t="shared" si="24"/>
        <v>2530181.3848446766</v>
      </c>
      <c r="O104" s="504">
        <f>IF(N104&lt;&gt;0,+I104-N104,0)</f>
        <v>0</v>
      </c>
      <c r="P104" s="504">
        <f>+O104-M104</f>
        <v>0</v>
      </c>
      <c r="Q104" s="243"/>
      <c r="R104" s="243"/>
      <c r="S104" s="243"/>
      <c r="T104" s="243"/>
      <c r="U104" s="243"/>
    </row>
    <row r="105" spans="1:21">
      <c r="B105" s="145" t="str">
        <f t="shared" si="21"/>
        <v/>
      </c>
      <c r="C105" s="495">
        <f>IF(D94="","-",+C104+1)</f>
        <v>2019</v>
      </c>
      <c r="D105" s="496">
        <v>18360778.915849674</v>
      </c>
      <c r="E105" s="498">
        <v>562294.02777777775</v>
      </c>
      <c r="F105" s="505">
        <v>17798484.888071898</v>
      </c>
      <c r="G105" s="505">
        <v>18079631.901960786</v>
      </c>
      <c r="H105" s="498">
        <v>2470824.2501586666</v>
      </c>
      <c r="I105" s="499">
        <v>2470824.2501586666</v>
      </c>
      <c r="J105" s="504">
        <f t="shared" si="25"/>
        <v>0</v>
      </c>
      <c r="K105" s="504"/>
      <c r="L105" s="506">
        <f t="shared" si="22"/>
        <v>2470824.2501586666</v>
      </c>
      <c r="M105" s="504">
        <f t="shared" si="23"/>
        <v>0</v>
      </c>
      <c r="N105" s="506">
        <f t="shared" si="24"/>
        <v>2470824.2501586666</v>
      </c>
      <c r="O105" s="504">
        <f t="shared" si="19"/>
        <v>0</v>
      </c>
      <c r="P105" s="504">
        <f t="shared" si="20"/>
        <v>0</v>
      </c>
      <c r="Q105" s="243"/>
      <c r="R105" s="243"/>
      <c r="S105" s="243"/>
      <c r="T105" s="243"/>
      <c r="U105" s="243"/>
    </row>
    <row r="106" spans="1:21">
      <c r="B106" s="145" t="str">
        <f t="shared" si="21"/>
        <v/>
      </c>
      <c r="C106" s="495">
        <f>IF(D94="","-",+C105+1)</f>
        <v>2020</v>
      </c>
      <c r="D106" s="496">
        <v>17798484.888071898</v>
      </c>
      <c r="E106" s="498">
        <v>722949.46428571432</v>
      </c>
      <c r="F106" s="505">
        <v>17075535.423786186</v>
      </c>
      <c r="G106" s="505">
        <v>17437010.155929044</v>
      </c>
      <c r="H106" s="498">
        <v>2578482.7265587896</v>
      </c>
      <c r="I106" s="499">
        <v>2578482.7265587896</v>
      </c>
      <c r="J106" s="504">
        <f t="shared" si="25"/>
        <v>0</v>
      </c>
      <c r="K106" s="504"/>
      <c r="L106" s="506">
        <f t="shared" si="22"/>
        <v>2578482.7265587896</v>
      </c>
      <c r="M106" s="504">
        <f t="shared" si="23"/>
        <v>0</v>
      </c>
      <c r="N106" s="506">
        <f t="shared" si="24"/>
        <v>2578482.7265587896</v>
      </c>
      <c r="O106" s="504">
        <f t="shared" si="19"/>
        <v>0</v>
      </c>
      <c r="P106" s="504">
        <f t="shared" si="20"/>
        <v>0</v>
      </c>
      <c r="Q106" s="243"/>
      <c r="R106" s="243"/>
      <c r="S106" s="243"/>
      <c r="T106" s="243"/>
      <c r="U106" s="243"/>
    </row>
    <row r="107" spans="1:21">
      <c r="B107" s="145" t="str">
        <f t="shared" si="21"/>
        <v/>
      </c>
      <c r="C107" s="495">
        <f>IF(D94="","-",+C106+1)</f>
        <v>2021</v>
      </c>
      <c r="D107" s="349">
        <f>IF(F106+SUM(E$100:E106)=D$93,F106,D$93-SUM(E$100:E106))</f>
        <v>17075535.423786186</v>
      </c>
      <c r="E107" s="629">
        <f t="shared" ref="E107:E155" si="26">IF(+$J$97&lt;F106,$J$97,D107)</f>
        <v>963932.61904761905</v>
      </c>
      <c r="F107" s="510">
        <f t="shared" ref="F107:F155" si="27">+D107-E107</f>
        <v>16111602.804738566</v>
      </c>
      <c r="G107" s="510">
        <f t="shared" ref="G107:G155" si="28">+(F107+D107)/2</f>
        <v>16593569.114262376</v>
      </c>
      <c r="H107" s="630">
        <f t="shared" ref="H107:H155" si="29">+J$95*G107+E107</f>
        <v>2868190.2651866442</v>
      </c>
      <c r="I107" s="631">
        <f t="shared" ref="I107:I155" si="30">+J$96*G107+E107</f>
        <v>2868190.2651866442</v>
      </c>
      <c r="J107" s="504">
        <f t="shared" si="25"/>
        <v>0</v>
      </c>
      <c r="K107" s="504"/>
      <c r="L107" s="512"/>
      <c r="M107" s="504">
        <f t="shared" si="18"/>
        <v>0</v>
      </c>
      <c r="N107" s="512"/>
      <c r="O107" s="504">
        <f t="shared" si="19"/>
        <v>0</v>
      </c>
      <c r="P107" s="504">
        <f t="shared" si="20"/>
        <v>0</v>
      </c>
      <c r="Q107" s="243"/>
      <c r="R107" s="243"/>
      <c r="S107" s="243"/>
      <c r="T107" s="243"/>
      <c r="U107" s="243"/>
    </row>
    <row r="108" spans="1:21">
      <c r="B108" s="145" t="str">
        <f t="shared" si="21"/>
        <v/>
      </c>
      <c r="C108" s="495">
        <f>IF(D94="","-",+C107+1)</f>
        <v>2022</v>
      </c>
      <c r="D108" s="349">
        <f>IF(F107+SUM(E$100:E107)=D$93,F107,D$93-SUM(E$100:E107))</f>
        <v>16111602.804738566</v>
      </c>
      <c r="E108" s="629">
        <f t="shared" si="26"/>
        <v>963932.61904761905</v>
      </c>
      <c r="F108" s="510">
        <f t="shared" si="27"/>
        <v>15147670.185690947</v>
      </c>
      <c r="G108" s="510">
        <f t="shared" si="28"/>
        <v>15629636.495214757</v>
      </c>
      <c r="H108" s="630">
        <f t="shared" si="29"/>
        <v>2757570.539704768</v>
      </c>
      <c r="I108" s="631">
        <f t="shared" si="30"/>
        <v>2757570.539704768</v>
      </c>
      <c r="J108" s="504">
        <f t="shared" si="25"/>
        <v>0</v>
      </c>
      <c r="K108" s="504"/>
      <c r="L108" s="512"/>
      <c r="M108" s="504">
        <f t="shared" si="18"/>
        <v>0</v>
      </c>
      <c r="N108" s="512"/>
      <c r="O108" s="504">
        <f t="shared" si="19"/>
        <v>0</v>
      </c>
      <c r="P108" s="504">
        <f t="shared" si="20"/>
        <v>0</v>
      </c>
      <c r="Q108" s="243"/>
      <c r="R108" s="243"/>
      <c r="S108" s="243"/>
      <c r="T108" s="243"/>
      <c r="U108" s="243"/>
    </row>
    <row r="109" spans="1:21">
      <c r="B109" s="145" t="str">
        <f t="shared" si="21"/>
        <v/>
      </c>
      <c r="C109" s="495">
        <f>IF(D94="","-",+C108+1)</f>
        <v>2023</v>
      </c>
      <c r="D109" s="349">
        <f>IF(F108+SUM(E$100:E108)=D$93,F108,D$93-SUM(E$100:E108))</f>
        <v>15147670.185690947</v>
      </c>
      <c r="E109" s="629">
        <f t="shared" si="26"/>
        <v>963932.61904761905</v>
      </c>
      <c r="F109" s="510">
        <f t="shared" si="27"/>
        <v>14183737.566643327</v>
      </c>
      <c r="G109" s="510">
        <f t="shared" si="28"/>
        <v>14665703.876167137</v>
      </c>
      <c r="H109" s="630">
        <f t="shared" si="29"/>
        <v>2646950.8142228913</v>
      </c>
      <c r="I109" s="631">
        <f t="shared" si="30"/>
        <v>2646950.8142228913</v>
      </c>
      <c r="J109" s="504">
        <f t="shared" si="25"/>
        <v>0</v>
      </c>
      <c r="K109" s="504"/>
      <c r="L109" s="512"/>
      <c r="M109" s="504">
        <f t="shared" si="18"/>
        <v>0</v>
      </c>
      <c r="N109" s="512"/>
      <c r="O109" s="504">
        <f t="shared" si="19"/>
        <v>0</v>
      </c>
      <c r="P109" s="504">
        <f t="shared" si="20"/>
        <v>0</v>
      </c>
      <c r="Q109" s="243"/>
      <c r="R109" s="243"/>
      <c r="S109" s="243"/>
      <c r="T109" s="243"/>
      <c r="U109" s="243"/>
    </row>
    <row r="110" spans="1:21">
      <c r="B110" s="145" t="str">
        <f t="shared" si="21"/>
        <v/>
      </c>
      <c r="C110" s="495">
        <f>IF(D94="","-",+C109+1)</f>
        <v>2024</v>
      </c>
      <c r="D110" s="349">
        <f>IF(F109+SUM(E$100:E109)=D$93,F109,D$93-SUM(E$100:E109))</f>
        <v>14183737.566643327</v>
      </c>
      <c r="E110" s="629">
        <f t="shared" si="26"/>
        <v>963932.61904761905</v>
      </c>
      <c r="F110" s="510">
        <f t="shared" si="27"/>
        <v>13219804.947595708</v>
      </c>
      <c r="G110" s="510">
        <f t="shared" si="28"/>
        <v>13701771.257119518</v>
      </c>
      <c r="H110" s="630">
        <f t="shared" si="29"/>
        <v>2536331.0887410152</v>
      </c>
      <c r="I110" s="631">
        <f t="shared" si="30"/>
        <v>2536331.0887410152</v>
      </c>
      <c r="J110" s="504">
        <f t="shared" si="25"/>
        <v>0</v>
      </c>
      <c r="K110" s="504"/>
      <c r="L110" s="512"/>
      <c r="M110" s="504">
        <f t="shared" si="18"/>
        <v>0</v>
      </c>
      <c r="N110" s="512"/>
      <c r="O110" s="504">
        <f t="shared" si="19"/>
        <v>0</v>
      </c>
      <c r="P110" s="504">
        <f t="shared" si="20"/>
        <v>0</v>
      </c>
      <c r="Q110" s="243"/>
      <c r="R110" s="243"/>
      <c r="S110" s="243"/>
      <c r="T110" s="243"/>
      <c r="U110" s="243"/>
    </row>
    <row r="111" spans="1:21">
      <c r="B111" s="145" t="str">
        <f t="shared" si="21"/>
        <v/>
      </c>
      <c r="C111" s="495">
        <f>IF(D94="","-",+C110+1)</f>
        <v>2025</v>
      </c>
      <c r="D111" s="349">
        <f>IF(F110+SUM(E$100:E110)=D$93,F110,D$93-SUM(E$100:E110))</f>
        <v>13219804.947595708</v>
      </c>
      <c r="E111" s="629">
        <f t="shared" si="26"/>
        <v>963932.61904761905</v>
      </c>
      <c r="F111" s="510">
        <f t="shared" si="27"/>
        <v>12255872.328548089</v>
      </c>
      <c r="G111" s="510">
        <f t="shared" si="28"/>
        <v>12737838.638071898</v>
      </c>
      <c r="H111" s="630">
        <f t="shared" si="29"/>
        <v>2425711.363259139</v>
      </c>
      <c r="I111" s="631">
        <f t="shared" si="30"/>
        <v>2425711.363259139</v>
      </c>
      <c r="J111" s="504">
        <f t="shared" si="25"/>
        <v>0</v>
      </c>
      <c r="K111" s="504"/>
      <c r="L111" s="512"/>
      <c r="M111" s="504">
        <f t="shared" si="18"/>
        <v>0</v>
      </c>
      <c r="N111" s="512"/>
      <c r="O111" s="504">
        <f t="shared" si="19"/>
        <v>0</v>
      </c>
      <c r="P111" s="504">
        <f t="shared" si="20"/>
        <v>0</v>
      </c>
      <c r="Q111" s="243"/>
      <c r="R111" s="243"/>
      <c r="S111" s="243"/>
      <c r="T111" s="243"/>
      <c r="U111" s="243"/>
    </row>
    <row r="112" spans="1:21">
      <c r="B112" s="145" t="str">
        <f t="shared" si="21"/>
        <v/>
      </c>
      <c r="C112" s="495">
        <f>IF(D94="","-",+C111+1)</f>
        <v>2026</v>
      </c>
      <c r="D112" s="349">
        <f>IF(F111+SUM(E$100:E111)=D$93,F111,D$93-SUM(E$100:E111))</f>
        <v>12255872.328548089</v>
      </c>
      <c r="E112" s="629">
        <f t="shared" si="26"/>
        <v>963932.61904761905</v>
      </c>
      <c r="F112" s="510">
        <f t="shared" si="27"/>
        <v>11291939.709500469</v>
      </c>
      <c r="G112" s="510">
        <f t="shared" si="28"/>
        <v>11773906.019024279</v>
      </c>
      <c r="H112" s="630">
        <f t="shared" si="29"/>
        <v>2315091.6377772628</v>
      </c>
      <c r="I112" s="631">
        <f t="shared" si="30"/>
        <v>2315091.6377772628</v>
      </c>
      <c r="J112" s="504">
        <f t="shared" si="25"/>
        <v>0</v>
      </c>
      <c r="K112" s="504"/>
      <c r="L112" s="512"/>
      <c r="M112" s="504">
        <f t="shared" si="18"/>
        <v>0</v>
      </c>
      <c r="N112" s="512"/>
      <c r="O112" s="504">
        <f t="shared" si="19"/>
        <v>0</v>
      </c>
      <c r="P112" s="504">
        <f t="shared" si="20"/>
        <v>0</v>
      </c>
      <c r="Q112" s="243"/>
      <c r="R112" s="243"/>
      <c r="S112" s="243"/>
      <c r="T112" s="243"/>
      <c r="U112" s="243"/>
    </row>
    <row r="113" spans="2:21">
      <c r="B113" s="145" t="str">
        <f t="shared" si="21"/>
        <v/>
      </c>
      <c r="C113" s="495">
        <f>IF(D94="","-",+C112+1)</f>
        <v>2027</v>
      </c>
      <c r="D113" s="349">
        <f>IF(F112+SUM(E$100:E112)=D$93,F112,D$93-SUM(E$100:E112))</f>
        <v>11291939.709500469</v>
      </c>
      <c r="E113" s="629">
        <f t="shared" si="26"/>
        <v>963932.61904761905</v>
      </c>
      <c r="F113" s="510">
        <f t="shared" si="27"/>
        <v>10328007.09045285</v>
      </c>
      <c r="G113" s="510">
        <f t="shared" si="28"/>
        <v>10809973.39997666</v>
      </c>
      <c r="H113" s="630">
        <f t="shared" si="29"/>
        <v>2204471.9122953862</v>
      </c>
      <c r="I113" s="631">
        <f t="shared" si="30"/>
        <v>2204471.9122953862</v>
      </c>
      <c r="J113" s="504">
        <f t="shared" si="25"/>
        <v>0</v>
      </c>
      <c r="K113" s="504"/>
      <c r="L113" s="512"/>
      <c r="M113" s="504">
        <f t="shared" si="18"/>
        <v>0</v>
      </c>
      <c r="N113" s="512"/>
      <c r="O113" s="504">
        <f t="shared" si="19"/>
        <v>0</v>
      </c>
      <c r="P113" s="504">
        <f t="shared" si="20"/>
        <v>0</v>
      </c>
      <c r="Q113" s="243"/>
      <c r="R113" s="243"/>
      <c r="S113" s="243"/>
      <c r="T113" s="243"/>
      <c r="U113" s="243"/>
    </row>
    <row r="114" spans="2:21">
      <c r="B114" s="145" t="str">
        <f t="shared" si="21"/>
        <v/>
      </c>
      <c r="C114" s="495">
        <f>IF(D94="","-",+C113+1)</f>
        <v>2028</v>
      </c>
      <c r="D114" s="349">
        <f>IF(F113+SUM(E$100:E113)=D$93,F113,D$93-SUM(E$100:E113))</f>
        <v>10328007.09045285</v>
      </c>
      <c r="E114" s="629">
        <f t="shared" si="26"/>
        <v>963932.61904761905</v>
      </c>
      <c r="F114" s="510">
        <f t="shared" si="27"/>
        <v>9364074.4714052305</v>
      </c>
      <c r="G114" s="510">
        <f t="shared" si="28"/>
        <v>9846040.7809290402</v>
      </c>
      <c r="H114" s="630">
        <f t="shared" si="29"/>
        <v>2093852.18681351</v>
      </c>
      <c r="I114" s="631">
        <f t="shared" si="30"/>
        <v>2093852.18681351</v>
      </c>
      <c r="J114" s="504">
        <f t="shared" si="25"/>
        <v>0</v>
      </c>
      <c r="K114" s="504"/>
      <c r="L114" s="512"/>
      <c r="M114" s="504">
        <f t="shared" si="18"/>
        <v>0</v>
      </c>
      <c r="N114" s="512"/>
      <c r="O114" s="504">
        <f t="shared" si="19"/>
        <v>0</v>
      </c>
      <c r="P114" s="504">
        <f t="shared" si="20"/>
        <v>0</v>
      </c>
      <c r="Q114" s="243"/>
      <c r="R114" s="243"/>
      <c r="S114" s="243"/>
      <c r="T114" s="243"/>
      <c r="U114" s="243"/>
    </row>
    <row r="115" spans="2:21">
      <c r="B115" s="145" t="str">
        <f t="shared" si="21"/>
        <v/>
      </c>
      <c r="C115" s="495">
        <f>IF(D94="","-",+C114+1)</f>
        <v>2029</v>
      </c>
      <c r="D115" s="349">
        <f>IF(F114+SUM(E$100:E114)=D$93,F114,D$93-SUM(E$100:E114))</f>
        <v>9364074.4714052305</v>
      </c>
      <c r="E115" s="629">
        <f t="shared" si="26"/>
        <v>963932.61904761905</v>
      </c>
      <c r="F115" s="510">
        <f t="shared" si="27"/>
        <v>8400141.8523576111</v>
      </c>
      <c r="G115" s="510">
        <f t="shared" si="28"/>
        <v>8882108.1618814208</v>
      </c>
      <c r="H115" s="630">
        <f t="shared" si="29"/>
        <v>1983232.4613316339</v>
      </c>
      <c r="I115" s="631">
        <f t="shared" si="30"/>
        <v>1983232.4613316339</v>
      </c>
      <c r="J115" s="504">
        <f t="shared" si="25"/>
        <v>0</v>
      </c>
      <c r="K115" s="504"/>
      <c r="L115" s="512"/>
      <c r="M115" s="504">
        <f t="shared" si="18"/>
        <v>0</v>
      </c>
      <c r="N115" s="512"/>
      <c r="O115" s="504">
        <f t="shared" si="19"/>
        <v>0</v>
      </c>
      <c r="P115" s="504">
        <f t="shared" si="20"/>
        <v>0</v>
      </c>
      <c r="Q115" s="243"/>
      <c r="R115" s="243"/>
      <c r="S115" s="243"/>
      <c r="T115" s="243"/>
      <c r="U115" s="243"/>
    </row>
    <row r="116" spans="2:21">
      <c r="B116" s="145" t="str">
        <f t="shared" si="21"/>
        <v/>
      </c>
      <c r="C116" s="495">
        <f>IF(D94="","-",+C115+1)</f>
        <v>2030</v>
      </c>
      <c r="D116" s="349">
        <f>IF(F115+SUM(E$100:E115)=D$93,F115,D$93-SUM(E$100:E115))</f>
        <v>8400141.8523576111</v>
      </c>
      <c r="E116" s="629">
        <f t="shared" si="26"/>
        <v>963932.61904761905</v>
      </c>
      <c r="F116" s="510">
        <f t="shared" si="27"/>
        <v>7436209.2333099917</v>
      </c>
      <c r="G116" s="510">
        <f t="shared" si="28"/>
        <v>7918175.5428338014</v>
      </c>
      <c r="H116" s="630">
        <f t="shared" si="29"/>
        <v>1872612.7358497574</v>
      </c>
      <c r="I116" s="631">
        <f t="shared" si="30"/>
        <v>1872612.7358497574</v>
      </c>
      <c r="J116" s="504">
        <f t="shared" si="25"/>
        <v>0</v>
      </c>
      <c r="K116" s="504"/>
      <c r="L116" s="512"/>
      <c r="M116" s="504">
        <f t="shared" si="18"/>
        <v>0</v>
      </c>
      <c r="N116" s="512"/>
      <c r="O116" s="504">
        <f t="shared" si="19"/>
        <v>0</v>
      </c>
      <c r="P116" s="504">
        <f t="shared" si="20"/>
        <v>0</v>
      </c>
      <c r="Q116" s="243"/>
      <c r="R116" s="243"/>
      <c r="S116" s="243"/>
      <c r="T116" s="243"/>
      <c r="U116" s="243"/>
    </row>
    <row r="117" spans="2:21">
      <c r="B117" s="145" t="str">
        <f t="shared" si="21"/>
        <v/>
      </c>
      <c r="C117" s="495">
        <f>IF(D94="","-",+C116+1)</f>
        <v>2031</v>
      </c>
      <c r="D117" s="349">
        <f>IF(F116+SUM(E$100:E116)=D$93,F116,D$93-SUM(E$100:E116))</f>
        <v>7436209.2333099917</v>
      </c>
      <c r="E117" s="629">
        <f t="shared" si="26"/>
        <v>963932.61904761905</v>
      </c>
      <c r="F117" s="510">
        <f t="shared" si="27"/>
        <v>6472276.6142623723</v>
      </c>
      <c r="G117" s="510">
        <f t="shared" si="28"/>
        <v>6954242.923786182</v>
      </c>
      <c r="H117" s="630">
        <f t="shared" si="29"/>
        <v>1761993.010367881</v>
      </c>
      <c r="I117" s="631">
        <f t="shared" si="30"/>
        <v>1761993.010367881</v>
      </c>
      <c r="J117" s="504">
        <f t="shared" si="25"/>
        <v>0</v>
      </c>
      <c r="K117" s="504"/>
      <c r="L117" s="512"/>
      <c r="M117" s="504">
        <f t="shared" si="18"/>
        <v>0</v>
      </c>
      <c r="N117" s="512"/>
      <c r="O117" s="504">
        <f t="shared" si="19"/>
        <v>0</v>
      </c>
      <c r="P117" s="504">
        <f t="shared" si="20"/>
        <v>0</v>
      </c>
      <c r="Q117" s="243"/>
      <c r="R117" s="243"/>
      <c r="S117" s="243"/>
      <c r="T117" s="243"/>
      <c r="U117" s="243"/>
    </row>
    <row r="118" spans="2:21">
      <c r="B118" s="145" t="str">
        <f t="shared" si="21"/>
        <v/>
      </c>
      <c r="C118" s="495">
        <f>IF(D94="","-",+C117+1)</f>
        <v>2032</v>
      </c>
      <c r="D118" s="349">
        <f>IF(F117+SUM(E$100:E117)=D$93,F117,D$93-SUM(E$100:E117))</f>
        <v>6472276.6142623723</v>
      </c>
      <c r="E118" s="629">
        <f t="shared" si="26"/>
        <v>963932.61904761905</v>
      </c>
      <c r="F118" s="510">
        <f t="shared" si="27"/>
        <v>5508343.9952147529</v>
      </c>
      <c r="G118" s="510">
        <f t="shared" si="28"/>
        <v>5990310.3047385626</v>
      </c>
      <c r="H118" s="630">
        <f t="shared" si="29"/>
        <v>1651373.2848860049</v>
      </c>
      <c r="I118" s="631">
        <f t="shared" si="30"/>
        <v>1651373.2848860049</v>
      </c>
      <c r="J118" s="504">
        <f t="shared" si="25"/>
        <v>0</v>
      </c>
      <c r="K118" s="504"/>
      <c r="L118" s="512"/>
      <c r="M118" s="504">
        <f t="shared" si="18"/>
        <v>0</v>
      </c>
      <c r="N118" s="512"/>
      <c r="O118" s="504">
        <f t="shared" si="19"/>
        <v>0</v>
      </c>
      <c r="P118" s="504">
        <f t="shared" si="20"/>
        <v>0</v>
      </c>
      <c r="Q118" s="243"/>
      <c r="R118" s="243"/>
      <c r="S118" s="243"/>
      <c r="T118" s="243"/>
      <c r="U118" s="243"/>
    </row>
    <row r="119" spans="2:21">
      <c r="B119" s="145" t="str">
        <f t="shared" si="21"/>
        <v/>
      </c>
      <c r="C119" s="495">
        <f>IF(D94="","-",+C118+1)</f>
        <v>2033</v>
      </c>
      <c r="D119" s="349">
        <f>IF(F118+SUM(E$100:E118)=D$93,F118,D$93-SUM(E$100:E118))</f>
        <v>5508343.9952147529</v>
      </c>
      <c r="E119" s="629">
        <f t="shared" si="26"/>
        <v>963932.61904761905</v>
      </c>
      <c r="F119" s="510">
        <f t="shared" si="27"/>
        <v>4544411.3761671335</v>
      </c>
      <c r="G119" s="510">
        <f t="shared" si="28"/>
        <v>5026377.6856909432</v>
      </c>
      <c r="H119" s="630">
        <f t="shared" si="29"/>
        <v>1540753.5594041287</v>
      </c>
      <c r="I119" s="631">
        <f t="shared" si="30"/>
        <v>1540753.5594041287</v>
      </c>
      <c r="J119" s="504">
        <f t="shared" si="25"/>
        <v>0</v>
      </c>
      <c r="K119" s="504"/>
      <c r="L119" s="512"/>
      <c r="M119" s="504">
        <f t="shared" si="18"/>
        <v>0</v>
      </c>
      <c r="N119" s="512"/>
      <c r="O119" s="504">
        <f t="shared" si="19"/>
        <v>0</v>
      </c>
      <c r="P119" s="504">
        <f t="shared" si="20"/>
        <v>0</v>
      </c>
      <c r="Q119" s="243"/>
      <c r="R119" s="243"/>
      <c r="S119" s="243"/>
      <c r="T119" s="243"/>
      <c r="U119" s="243"/>
    </row>
    <row r="120" spans="2:21">
      <c r="B120" s="145" t="str">
        <f t="shared" si="21"/>
        <v/>
      </c>
      <c r="C120" s="495">
        <f>IF(D94="","-",+C119+1)</f>
        <v>2034</v>
      </c>
      <c r="D120" s="349">
        <f>IF(F119+SUM(E$100:E119)=D$93,F119,D$93-SUM(E$100:E119))</f>
        <v>4544411.3761671335</v>
      </c>
      <c r="E120" s="629">
        <f t="shared" si="26"/>
        <v>963932.61904761905</v>
      </c>
      <c r="F120" s="510">
        <f t="shared" si="27"/>
        <v>3580478.7571195145</v>
      </c>
      <c r="G120" s="510">
        <f t="shared" si="28"/>
        <v>4062445.0666433237</v>
      </c>
      <c r="H120" s="630">
        <f t="shared" si="29"/>
        <v>1430133.8339222523</v>
      </c>
      <c r="I120" s="631">
        <f t="shared" si="30"/>
        <v>1430133.8339222523</v>
      </c>
      <c r="J120" s="504">
        <f t="shared" si="25"/>
        <v>0</v>
      </c>
      <c r="K120" s="504"/>
      <c r="L120" s="512"/>
      <c r="M120" s="504">
        <f t="shared" si="18"/>
        <v>0</v>
      </c>
      <c r="N120" s="512"/>
      <c r="O120" s="504">
        <f t="shared" si="19"/>
        <v>0</v>
      </c>
      <c r="P120" s="504">
        <f t="shared" si="20"/>
        <v>0</v>
      </c>
      <c r="Q120" s="243"/>
      <c r="R120" s="243"/>
      <c r="S120" s="243"/>
      <c r="T120" s="243"/>
      <c r="U120" s="243"/>
    </row>
    <row r="121" spans="2:21">
      <c r="B121" s="145" t="str">
        <f t="shared" si="21"/>
        <v/>
      </c>
      <c r="C121" s="495">
        <f>IF(D94="","-",+C120+1)</f>
        <v>2035</v>
      </c>
      <c r="D121" s="349">
        <f>IF(F120+SUM(E$100:E120)=D$93,F120,D$93-SUM(E$100:E120))</f>
        <v>3580478.7571195145</v>
      </c>
      <c r="E121" s="629">
        <f t="shared" si="26"/>
        <v>963932.61904761905</v>
      </c>
      <c r="F121" s="510">
        <f t="shared" si="27"/>
        <v>2616546.1380718956</v>
      </c>
      <c r="G121" s="510">
        <f t="shared" si="28"/>
        <v>3098512.4475957053</v>
      </c>
      <c r="H121" s="630">
        <f t="shared" si="29"/>
        <v>1319514.1084403761</v>
      </c>
      <c r="I121" s="631">
        <f t="shared" si="30"/>
        <v>1319514.1084403761</v>
      </c>
      <c r="J121" s="504">
        <f t="shared" si="25"/>
        <v>0</v>
      </c>
      <c r="K121" s="504"/>
      <c r="L121" s="512"/>
      <c r="M121" s="504">
        <f t="shared" si="18"/>
        <v>0</v>
      </c>
      <c r="N121" s="512"/>
      <c r="O121" s="504">
        <f t="shared" si="19"/>
        <v>0</v>
      </c>
      <c r="P121" s="504">
        <f t="shared" si="20"/>
        <v>0</v>
      </c>
      <c r="Q121" s="243"/>
      <c r="R121" s="243"/>
      <c r="S121" s="243"/>
      <c r="T121" s="243"/>
      <c r="U121" s="243"/>
    </row>
    <row r="122" spans="2:21">
      <c r="B122" s="145" t="str">
        <f t="shared" si="21"/>
        <v/>
      </c>
      <c r="C122" s="495">
        <f>IF(D94="","-",+C121+1)</f>
        <v>2036</v>
      </c>
      <c r="D122" s="349">
        <f>IF(F121+SUM(E$100:E121)=D$93,F121,D$93-SUM(E$100:E121))</f>
        <v>2616546.1380718956</v>
      </c>
      <c r="E122" s="629">
        <f t="shared" si="26"/>
        <v>963932.61904761905</v>
      </c>
      <c r="F122" s="510">
        <f t="shared" si="27"/>
        <v>1652613.5190242766</v>
      </c>
      <c r="G122" s="510">
        <f t="shared" si="28"/>
        <v>2134579.8285480859</v>
      </c>
      <c r="H122" s="630">
        <f t="shared" si="29"/>
        <v>1208894.3829584997</v>
      </c>
      <c r="I122" s="631">
        <f t="shared" si="30"/>
        <v>1208894.3829584997</v>
      </c>
      <c r="J122" s="504">
        <f t="shared" si="25"/>
        <v>0</v>
      </c>
      <c r="K122" s="504"/>
      <c r="L122" s="512"/>
      <c r="M122" s="504">
        <f t="shared" si="18"/>
        <v>0</v>
      </c>
      <c r="N122" s="512"/>
      <c r="O122" s="504">
        <f t="shared" si="19"/>
        <v>0</v>
      </c>
      <c r="P122" s="504">
        <f t="shared" si="20"/>
        <v>0</v>
      </c>
      <c r="Q122" s="243"/>
      <c r="R122" s="243"/>
      <c r="S122" s="243"/>
      <c r="T122" s="243"/>
      <c r="U122" s="243"/>
    </row>
    <row r="123" spans="2:21">
      <c r="B123" s="145" t="str">
        <f t="shared" si="21"/>
        <v/>
      </c>
      <c r="C123" s="495">
        <f>IF(D94="","-",+C122+1)</f>
        <v>2037</v>
      </c>
      <c r="D123" s="349">
        <f>IF(F122+SUM(E$100:E122)=D$93,F122,D$93-SUM(E$100:E122))</f>
        <v>1652613.5190242766</v>
      </c>
      <c r="E123" s="629">
        <f t="shared" si="26"/>
        <v>963932.61904761905</v>
      </c>
      <c r="F123" s="510">
        <f t="shared" si="27"/>
        <v>688680.89997665759</v>
      </c>
      <c r="G123" s="510">
        <f t="shared" si="28"/>
        <v>1170647.2095004672</v>
      </c>
      <c r="H123" s="630">
        <f t="shared" si="29"/>
        <v>1098274.6574766235</v>
      </c>
      <c r="I123" s="631">
        <f t="shared" si="30"/>
        <v>1098274.6574766235</v>
      </c>
      <c r="J123" s="504">
        <f t="shared" si="25"/>
        <v>0</v>
      </c>
      <c r="K123" s="504"/>
      <c r="L123" s="512"/>
      <c r="M123" s="504">
        <f t="shared" si="18"/>
        <v>0</v>
      </c>
      <c r="N123" s="512"/>
      <c r="O123" s="504">
        <f t="shared" si="19"/>
        <v>0</v>
      </c>
      <c r="P123" s="504">
        <f t="shared" si="20"/>
        <v>0</v>
      </c>
      <c r="Q123" s="243"/>
      <c r="R123" s="243"/>
      <c r="S123" s="243"/>
      <c r="T123" s="243"/>
      <c r="U123" s="243"/>
    </row>
    <row r="124" spans="2:21">
      <c r="B124" s="145" t="str">
        <f t="shared" si="21"/>
        <v/>
      </c>
      <c r="C124" s="495">
        <f>IF(D94="","-",+C123+1)</f>
        <v>2038</v>
      </c>
      <c r="D124" s="349">
        <f>IF(F123+SUM(E$100:E123)=D$93,F123,D$93-SUM(E$100:E123))</f>
        <v>688680.89997665759</v>
      </c>
      <c r="E124" s="629">
        <f t="shared" si="26"/>
        <v>688680.89997665759</v>
      </c>
      <c r="F124" s="510">
        <f t="shared" si="27"/>
        <v>0</v>
      </c>
      <c r="G124" s="510">
        <f t="shared" si="28"/>
        <v>344340.44998832879</v>
      </c>
      <c r="H124" s="630">
        <f t="shared" si="29"/>
        <v>728196.98782069073</v>
      </c>
      <c r="I124" s="631">
        <f t="shared" si="30"/>
        <v>728196.98782069073</v>
      </c>
      <c r="J124" s="504">
        <f t="shared" si="25"/>
        <v>0</v>
      </c>
      <c r="K124" s="504"/>
      <c r="L124" s="512"/>
      <c r="M124" s="504">
        <f t="shared" si="18"/>
        <v>0</v>
      </c>
      <c r="N124" s="512"/>
      <c r="O124" s="504">
        <f t="shared" si="19"/>
        <v>0</v>
      </c>
      <c r="P124" s="504">
        <f t="shared" si="20"/>
        <v>0</v>
      </c>
      <c r="Q124" s="243"/>
      <c r="R124" s="243"/>
      <c r="S124" s="243"/>
      <c r="T124" s="243"/>
      <c r="U124" s="243"/>
    </row>
    <row r="125" spans="2:21">
      <c r="B125" s="145" t="str">
        <f t="shared" si="21"/>
        <v/>
      </c>
      <c r="C125" s="495">
        <f>IF(D94="","-",+C124+1)</f>
        <v>2039</v>
      </c>
      <c r="D125" s="349">
        <f>IF(F124+SUM(E$100:E124)=D$93,F124,D$93-SUM(E$100:E124))</f>
        <v>0</v>
      </c>
      <c r="E125" s="629">
        <f t="shared" si="26"/>
        <v>0</v>
      </c>
      <c r="F125" s="510">
        <f t="shared" si="27"/>
        <v>0</v>
      </c>
      <c r="G125" s="510">
        <f t="shared" si="28"/>
        <v>0</v>
      </c>
      <c r="H125" s="630">
        <f t="shared" si="29"/>
        <v>0</v>
      </c>
      <c r="I125" s="631">
        <f t="shared" si="30"/>
        <v>0</v>
      </c>
      <c r="J125" s="504">
        <f t="shared" si="25"/>
        <v>0</v>
      </c>
      <c r="K125" s="504"/>
      <c r="L125" s="512"/>
      <c r="M125" s="504">
        <f t="shared" si="18"/>
        <v>0</v>
      </c>
      <c r="N125" s="512"/>
      <c r="O125" s="504">
        <f t="shared" si="19"/>
        <v>0</v>
      </c>
      <c r="P125" s="504">
        <f t="shared" si="20"/>
        <v>0</v>
      </c>
      <c r="Q125" s="243"/>
      <c r="R125" s="243"/>
      <c r="S125" s="243"/>
      <c r="T125" s="243"/>
      <c r="U125" s="243"/>
    </row>
    <row r="126" spans="2:21">
      <c r="B126" s="145" t="str">
        <f t="shared" si="21"/>
        <v/>
      </c>
      <c r="C126" s="495">
        <f>IF(D94="","-",+C125+1)</f>
        <v>2040</v>
      </c>
      <c r="D126" s="349">
        <f>IF(F125+SUM(E$100:E125)=D$93,F125,D$93-SUM(E$100:E125))</f>
        <v>0</v>
      </c>
      <c r="E126" s="629">
        <f t="shared" si="26"/>
        <v>0</v>
      </c>
      <c r="F126" s="510">
        <f t="shared" si="27"/>
        <v>0</v>
      </c>
      <c r="G126" s="510">
        <f t="shared" si="28"/>
        <v>0</v>
      </c>
      <c r="H126" s="630">
        <f t="shared" si="29"/>
        <v>0</v>
      </c>
      <c r="I126" s="631">
        <f t="shared" si="30"/>
        <v>0</v>
      </c>
      <c r="J126" s="504">
        <f t="shared" si="25"/>
        <v>0</v>
      </c>
      <c r="K126" s="504"/>
      <c r="L126" s="512"/>
      <c r="M126" s="504">
        <f t="shared" si="18"/>
        <v>0</v>
      </c>
      <c r="N126" s="512"/>
      <c r="O126" s="504">
        <f t="shared" si="19"/>
        <v>0</v>
      </c>
      <c r="P126" s="504">
        <f t="shared" si="20"/>
        <v>0</v>
      </c>
      <c r="Q126" s="243"/>
      <c r="R126" s="243"/>
      <c r="S126" s="243"/>
      <c r="T126" s="243"/>
      <c r="U126" s="243"/>
    </row>
    <row r="127" spans="2:21">
      <c r="B127" s="145" t="str">
        <f t="shared" si="21"/>
        <v/>
      </c>
      <c r="C127" s="495">
        <f>IF(D94="","-",+C126+1)</f>
        <v>2041</v>
      </c>
      <c r="D127" s="349">
        <f>IF(F126+SUM(E$100:E126)=D$93,F126,D$93-SUM(E$100:E126))</f>
        <v>0</v>
      </c>
      <c r="E127" s="629">
        <f t="shared" si="26"/>
        <v>0</v>
      </c>
      <c r="F127" s="510">
        <f t="shared" si="27"/>
        <v>0</v>
      </c>
      <c r="G127" s="510">
        <f t="shared" si="28"/>
        <v>0</v>
      </c>
      <c r="H127" s="630">
        <f t="shared" si="29"/>
        <v>0</v>
      </c>
      <c r="I127" s="631">
        <f t="shared" si="30"/>
        <v>0</v>
      </c>
      <c r="J127" s="504">
        <f t="shared" si="25"/>
        <v>0</v>
      </c>
      <c r="K127" s="504"/>
      <c r="L127" s="512"/>
      <c r="M127" s="504">
        <f t="shared" si="18"/>
        <v>0</v>
      </c>
      <c r="N127" s="512"/>
      <c r="O127" s="504">
        <f t="shared" si="19"/>
        <v>0</v>
      </c>
      <c r="P127" s="504">
        <f t="shared" si="20"/>
        <v>0</v>
      </c>
      <c r="Q127" s="243"/>
      <c r="R127" s="243"/>
      <c r="S127" s="243"/>
      <c r="T127" s="243"/>
      <c r="U127" s="243"/>
    </row>
    <row r="128" spans="2:21">
      <c r="B128" s="145" t="str">
        <f t="shared" si="21"/>
        <v/>
      </c>
      <c r="C128" s="495">
        <f>IF(D94="","-",+C127+1)</f>
        <v>2042</v>
      </c>
      <c r="D128" s="349">
        <f>IF(F127+SUM(E$100:E127)=D$93,F127,D$93-SUM(E$100:E127))</f>
        <v>0</v>
      </c>
      <c r="E128" s="629">
        <f t="shared" si="26"/>
        <v>0</v>
      </c>
      <c r="F128" s="510">
        <f t="shared" si="27"/>
        <v>0</v>
      </c>
      <c r="G128" s="510">
        <f t="shared" si="28"/>
        <v>0</v>
      </c>
      <c r="H128" s="630">
        <f t="shared" si="29"/>
        <v>0</v>
      </c>
      <c r="I128" s="631">
        <f t="shared" si="30"/>
        <v>0</v>
      </c>
      <c r="J128" s="504">
        <f t="shared" si="25"/>
        <v>0</v>
      </c>
      <c r="K128" s="504"/>
      <c r="L128" s="512"/>
      <c r="M128" s="504">
        <f t="shared" si="18"/>
        <v>0</v>
      </c>
      <c r="N128" s="512"/>
      <c r="O128" s="504">
        <f t="shared" si="19"/>
        <v>0</v>
      </c>
      <c r="P128" s="504">
        <f t="shared" si="20"/>
        <v>0</v>
      </c>
      <c r="Q128" s="243"/>
      <c r="R128" s="243"/>
      <c r="S128" s="243"/>
      <c r="T128" s="243"/>
      <c r="U128" s="243"/>
    </row>
    <row r="129" spans="2:21">
      <c r="B129" s="145" t="str">
        <f t="shared" si="21"/>
        <v/>
      </c>
      <c r="C129" s="495">
        <f>IF(D94="","-",+C128+1)</f>
        <v>2043</v>
      </c>
      <c r="D129" s="349">
        <f>IF(F128+SUM(E$100:E128)=D$93,F128,D$93-SUM(E$100:E128))</f>
        <v>0</v>
      </c>
      <c r="E129" s="629">
        <f t="shared" si="26"/>
        <v>0</v>
      </c>
      <c r="F129" s="510">
        <f t="shared" si="27"/>
        <v>0</v>
      </c>
      <c r="G129" s="510">
        <f t="shared" si="28"/>
        <v>0</v>
      </c>
      <c r="H129" s="630">
        <f t="shared" si="29"/>
        <v>0</v>
      </c>
      <c r="I129" s="631">
        <f t="shared" si="30"/>
        <v>0</v>
      </c>
      <c r="J129" s="504">
        <f t="shared" si="25"/>
        <v>0</v>
      </c>
      <c r="K129" s="504"/>
      <c r="L129" s="512"/>
      <c r="M129" s="504">
        <f t="shared" si="18"/>
        <v>0</v>
      </c>
      <c r="N129" s="512"/>
      <c r="O129" s="504">
        <f t="shared" si="19"/>
        <v>0</v>
      </c>
      <c r="P129" s="504">
        <f t="shared" si="20"/>
        <v>0</v>
      </c>
      <c r="Q129" s="243"/>
      <c r="R129" s="243"/>
      <c r="S129" s="243"/>
      <c r="T129" s="243"/>
      <c r="U129" s="243"/>
    </row>
    <row r="130" spans="2:21">
      <c r="B130" s="145" t="str">
        <f t="shared" si="21"/>
        <v/>
      </c>
      <c r="C130" s="495">
        <f>IF(D94="","-",+C129+1)</f>
        <v>2044</v>
      </c>
      <c r="D130" s="349">
        <f>IF(F129+SUM(E$100:E129)=D$93,F129,D$93-SUM(E$100:E129))</f>
        <v>0</v>
      </c>
      <c r="E130" s="629">
        <f t="shared" si="26"/>
        <v>0</v>
      </c>
      <c r="F130" s="510">
        <f t="shared" si="27"/>
        <v>0</v>
      </c>
      <c r="G130" s="510">
        <f t="shared" si="28"/>
        <v>0</v>
      </c>
      <c r="H130" s="630">
        <f t="shared" si="29"/>
        <v>0</v>
      </c>
      <c r="I130" s="631">
        <f t="shared" si="30"/>
        <v>0</v>
      </c>
      <c r="J130" s="504">
        <f t="shared" si="25"/>
        <v>0</v>
      </c>
      <c r="K130" s="504"/>
      <c r="L130" s="512"/>
      <c r="M130" s="504">
        <f t="shared" si="18"/>
        <v>0</v>
      </c>
      <c r="N130" s="512"/>
      <c r="O130" s="504">
        <f t="shared" si="19"/>
        <v>0</v>
      </c>
      <c r="P130" s="504">
        <f t="shared" si="20"/>
        <v>0</v>
      </c>
      <c r="Q130" s="243"/>
      <c r="R130" s="243"/>
      <c r="S130" s="243"/>
      <c r="T130" s="243"/>
      <c r="U130" s="243"/>
    </row>
    <row r="131" spans="2:21">
      <c r="B131" s="145" t="str">
        <f t="shared" si="21"/>
        <v/>
      </c>
      <c r="C131" s="495">
        <f>IF(D94="","-",+C130+1)</f>
        <v>2045</v>
      </c>
      <c r="D131" s="349">
        <f>IF(F130+SUM(E$100:E130)=D$93,F130,D$93-SUM(E$100:E130))</f>
        <v>0</v>
      </c>
      <c r="E131" s="629">
        <f t="shared" si="26"/>
        <v>0</v>
      </c>
      <c r="F131" s="510">
        <f t="shared" si="27"/>
        <v>0</v>
      </c>
      <c r="G131" s="510">
        <f t="shared" si="28"/>
        <v>0</v>
      </c>
      <c r="H131" s="630">
        <f t="shared" si="29"/>
        <v>0</v>
      </c>
      <c r="I131" s="631">
        <f t="shared" si="30"/>
        <v>0</v>
      </c>
      <c r="J131" s="504">
        <f t="shared" si="25"/>
        <v>0</v>
      </c>
      <c r="K131" s="504"/>
      <c r="L131" s="512"/>
      <c r="M131" s="504">
        <f t="shared" si="18"/>
        <v>0</v>
      </c>
      <c r="N131" s="512"/>
      <c r="O131" s="504">
        <f t="shared" si="19"/>
        <v>0</v>
      </c>
      <c r="P131" s="504">
        <f t="shared" si="20"/>
        <v>0</v>
      </c>
      <c r="Q131" s="243"/>
      <c r="R131" s="243"/>
      <c r="S131" s="243"/>
      <c r="T131" s="243"/>
      <c r="U131" s="243"/>
    </row>
    <row r="132" spans="2:21">
      <c r="B132" s="145" t="str">
        <f t="shared" si="21"/>
        <v/>
      </c>
      <c r="C132" s="495">
        <f>IF(D94="","-",+C131+1)</f>
        <v>2046</v>
      </c>
      <c r="D132" s="349">
        <f>IF(F131+SUM(E$100:E131)=D$93,F131,D$93-SUM(E$100:E131))</f>
        <v>0</v>
      </c>
      <c r="E132" s="629">
        <f t="shared" si="26"/>
        <v>0</v>
      </c>
      <c r="F132" s="510">
        <f t="shared" si="27"/>
        <v>0</v>
      </c>
      <c r="G132" s="510">
        <f t="shared" si="28"/>
        <v>0</v>
      </c>
      <c r="H132" s="630">
        <f t="shared" si="29"/>
        <v>0</v>
      </c>
      <c r="I132" s="631">
        <f t="shared" si="30"/>
        <v>0</v>
      </c>
      <c r="J132" s="504">
        <f t="shared" si="25"/>
        <v>0</v>
      </c>
      <c r="K132" s="504"/>
      <c r="L132" s="512"/>
      <c r="M132" s="504">
        <f t="shared" ref="M132:M155" si="31">IF(L542&lt;&gt;0,+H542-L542,0)</f>
        <v>0</v>
      </c>
      <c r="N132" s="512"/>
      <c r="O132" s="504">
        <f t="shared" ref="O132:O155" si="32">IF(N542&lt;&gt;0,+I542-N542,0)</f>
        <v>0</v>
      </c>
      <c r="P132" s="504">
        <f t="shared" ref="P132:P155" si="33">+O542-M542</f>
        <v>0</v>
      </c>
      <c r="Q132" s="243"/>
      <c r="R132" s="243"/>
      <c r="S132" s="243"/>
      <c r="T132" s="243"/>
      <c r="U132" s="243"/>
    </row>
    <row r="133" spans="2:21">
      <c r="B133" s="145" t="str">
        <f t="shared" si="21"/>
        <v/>
      </c>
      <c r="C133" s="495">
        <f>IF(D94="","-",+C132+1)</f>
        <v>2047</v>
      </c>
      <c r="D133" s="349">
        <f>IF(F132+SUM(E$100:E132)=D$93,F132,D$93-SUM(E$100:E132))</f>
        <v>0</v>
      </c>
      <c r="E133" s="629">
        <f t="shared" si="26"/>
        <v>0</v>
      </c>
      <c r="F133" s="510">
        <f t="shared" si="27"/>
        <v>0</v>
      </c>
      <c r="G133" s="510">
        <f t="shared" si="28"/>
        <v>0</v>
      </c>
      <c r="H133" s="630">
        <f t="shared" si="29"/>
        <v>0</v>
      </c>
      <c r="I133" s="631">
        <f t="shared" si="30"/>
        <v>0</v>
      </c>
      <c r="J133" s="504">
        <f t="shared" si="25"/>
        <v>0</v>
      </c>
      <c r="K133" s="504"/>
      <c r="L133" s="512"/>
      <c r="M133" s="504">
        <f t="shared" si="31"/>
        <v>0</v>
      </c>
      <c r="N133" s="512"/>
      <c r="O133" s="504">
        <f t="shared" si="32"/>
        <v>0</v>
      </c>
      <c r="P133" s="504">
        <f t="shared" si="33"/>
        <v>0</v>
      </c>
      <c r="Q133" s="243"/>
      <c r="R133" s="243"/>
      <c r="S133" s="243"/>
      <c r="T133" s="243"/>
      <c r="U133" s="243"/>
    </row>
    <row r="134" spans="2:21">
      <c r="B134" s="145" t="str">
        <f t="shared" si="21"/>
        <v/>
      </c>
      <c r="C134" s="495">
        <f>IF(D94="","-",+C133+1)</f>
        <v>2048</v>
      </c>
      <c r="D134" s="349">
        <f>IF(F133+SUM(E$100:E133)=D$93,F133,D$93-SUM(E$100:E133))</f>
        <v>0</v>
      </c>
      <c r="E134" s="629">
        <f t="shared" si="26"/>
        <v>0</v>
      </c>
      <c r="F134" s="510">
        <f t="shared" si="27"/>
        <v>0</v>
      </c>
      <c r="G134" s="510">
        <f t="shared" si="28"/>
        <v>0</v>
      </c>
      <c r="H134" s="630">
        <f t="shared" si="29"/>
        <v>0</v>
      </c>
      <c r="I134" s="631">
        <f t="shared" si="30"/>
        <v>0</v>
      </c>
      <c r="J134" s="504">
        <f t="shared" si="25"/>
        <v>0</v>
      </c>
      <c r="K134" s="504"/>
      <c r="L134" s="512"/>
      <c r="M134" s="504">
        <f t="shared" si="31"/>
        <v>0</v>
      </c>
      <c r="N134" s="512"/>
      <c r="O134" s="504">
        <f t="shared" si="32"/>
        <v>0</v>
      </c>
      <c r="P134" s="504">
        <f t="shared" si="33"/>
        <v>0</v>
      </c>
      <c r="Q134" s="243"/>
      <c r="R134" s="243"/>
      <c r="S134" s="243"/>
      <c r="T134" s="243"/>
      <c r="U134" s="243"/>
    </row>
    <row r="135" spans="2:21">
      <c r="B135" s="145" t="str">
        <f t="shared" si="21"/>
        <v/>
      </c>
      <c r="C135" s="495">
        <f>IF(D94="","-",+C134+1)</f>
        <v>2049</v>
      </c>
      <c r="D135" s="349">
        <f>IF(F134+SUM(E$100:E134)=D$93,F134,D$93-SUM(E$100:E134))</f>
        <v>0</v>
      </c>
      <c r="E135" s="629">
        <f t="shared" si="26"/>
        <v>0</v>
      </c>
      <c r="F135" s="510">
        <f t="shared" si="27"/>
        <v>0</v>
      </c>
      <c r="G135" s="510">
        <f t="shared" si="28"/>
        <v>0</v>
      </c>
      <c r="H135" s="630">
        <f t="shared" si="29"/>
        <v>0</v>
      </c>
      <c r="I135" s="631">
        <f t="shared" si="30"/>
        <v>0</v>
      </c>
      <c r="J135" s="504">
        <f t="shared" si="25"/>
        <v>0</v>
      </c>
      <c r="K135" s="504"/>
      <c r="L135" s="512"/>
      <c r="M135" s="504">
        <f t="shared" si="31"/>
        <v>0</v>
      </c>
      <c r="N135" s="512"/>
      <c r="O135" s="504">
        <f t="shared" si="32"/>
        <v>0</v>
      </c>
      <c r="P135" s="504">
        <f t="shared" si="33"/>
        <v>0</v>
      </c>
      <c r="Q135" s="243"/>
      <c r="R135" s="243"/>
      <c r="S135" s="243"/>
      <c r="T135" s="243"/>
      <c r="U135" s="243"/>
    </row>
    <row r="136" spans="2:21">
      <c r="B136" s="145" t="str">
        <f t="shared" si="21"/>
        <v/>
      </c>
      <c r="C136" s="495">
        <f>IF(D94="","-",+C135+1)</f>
        <v>2050</v>
      </c>
      <c r="D136" s="349">
        <f>IF(F135+SUM(E$100:E135)=D$93,F135,D$93-SUM(E$100:E135))</f>
        <v>0</v>
      </c>
      <c r="E136" s="629">
        <f t="shared" si="26"/>
        <v>0</v>
      </c>
      <c r="F136" s="510">
        <f t="shared" si="27"/>
        <v>0</v>
      </c>
      <c r="G136" s="510">
        <f t="shared" si="28"/>
        <v>0</v>
      </c>
      <c r="H136" s="630">
        <f t="shared" si="29"/>
        <v>0</v>
      </c>
      <c r="I136" s="631">
        <f t="shared" si="30"/>
        <v>0</v>
      </c>
      <c r="J136" s="504">
        <f t="shared" si="25"/>
        <v>0</v>
      </c>
      <c r="K136" s="504"/>
      <c r="L136" s="512"/>
      <c r="M136" s="504">
        <f t="shared" si="31"/>
        <v>0</v>
      </c>
      <c r="N136" s="512"/>
      <c r="O136" s="504">
        <f t="shared" si="32"/>
        <v>0</v>
      </c>
      <c r="P136" s="504">
        <f t="shared" si="33"/>
        <v>0</v>
      </c>
      <c r="Q136" s="243"/>
      <c r="R136" s="243"/>
      <c r="S136" s="243"/>
      <c r="T136" s="243"/>
      <c r="U136" s="243"/>
    </row>
    <row r="137" spans="2:21">
      <c r="B137" s="145" t="str">
        <f t="shared" si="21"/>
        <v/>
      </c>
      <c r="C137" s="495">
        <f>IF(D94="","-",+C136+1)</f>
        <v>2051</v>
      </c>
      <c r="D137" s="349">
        <f>IF(F136+SUM(E$100:E136)=D$93,F136,D$93-SUM(E$100:E136))</f>
        <v>0</v>
      </c>
      <c r="E137" s="629">
        <f t="shared" si="26"/>
        <v>0</v>
      </c>
      <c r="F137" s="510">
        <f t="shared" si="27"/>
        <v>0</v>
      </c>
      <c r="G137" s="510">
        <f t="shared" si="28"/>
        <v>0</v>
      </c>
      <c r="H137" s="630">
        <f t="shared" si="29"/>
        <v>0</v>
      </c>
      <c r="I137" s="631">
        <f t="shared" si="30"/>
        <v>0</v>
      </c>
      <c r="J137" s="504">
        <f t="shared" si="25"/>
        <v>0</v>
      </c>
      <c r="K137" s="504"/>
      <c r="L137" s="512"/>
      <c r="M137" s="504">
        <f t="shared" si="31"/>
        <v>0</v>
      </c>
      <c r="N137" s="512"/>
      <c r="O137" s="504">
        <f t="shared" si="32"/>
        <v>0</v>
      </c>
      <c r="P137" s="504">
        <f t="shared" si="33"/>
        <v>0</v>
      </c>
      <c r="Q137" s="243"/>
      <c r="R137" s="243"/>
      <c r="S137" s="243"/>
      <c r="T137" s="243"/>
      <c r="U137" s="243"/>
    </row>
    <row r="138" spans="2:21">
      <c r="B138" s="145" t="str">
        <f t="shared" si="21"/>
        <v/>
      </c>
      <c r="C138" s="495">
        <f>IF(D94="","-",+C137+1)</f>
        <v>2052</v>
      </c>
      <c r="D138" s="349">
        <f>IF(F137+SUM(E$100:E137)=D$93,F137,D$93-SUM(E$100:E137))</f>
        <v>0</v>
      </c>
      <c r="E138" s="629">
        <f t="shared" si="26"/>
        <v>0</v>
      </c>
      <c r="F138" s="510">
        <f t="shared" si="27"/>
        <v>0</v>
      </c>
      <c r="G138" s="510">
        <f t="shared" si="28"/>
        <v>0</v>
      </c>
      <c r="H138" s="630">
        <f t="shared" si="29"/>
        <v>0</v>
      </c>
      <c r="I138" s="631">
        <f t="shared" si="30"/>
        <v>0</v>
      </c>
      <c r="J138" s="504">
        <f t="shared" si="25"/>
        <v>0</v>
      </c>
      <c r="K138" s="504"/>
      <c r="L138" s="512"/>
      <c r="M138" s="504">
        <f t="shared" si="31"/>
        <v>0</v>
      </c>
      <c r="N138" s="512"/>
      <c r="O138" s="504">
        <f t="shared" si="32"/>
        <v>0</v>
      </c>
      <c r="P138" s="504">
        <f t="shared" si="33"/>
        <v>0</v>
      </c>
      <c r="Q138" s="243"/>
      <c r="R138" s="243"/>
      <c r="S138" s="243"/>
      <c r="T138" s="243"/>
      <c r="U138" s="243"/>
    </row>
    <row r="139" spans="2:21">
      <c r="B139" s="145" t="str">
        <f t="shared" si="21"/>
        <v/>
      </c>
      <c r="C139" s="495">
        <f>IF(D94="","-",+C138+1)</f>
        <v>2053</v>
      </c>
      <c r="D139" s="349">
        <f>IF(F138+SUM(E$100:E138)=D$93,F138,D$93-SUM(E$100:E138))</f>
        <v>0</v>
      </c>
      <c r="E139" s="629">
        <f t="shared" si="26"/>
        <v>0</v>
      </c>
      <c r="F139" s="510">
        <f t="shared" si="27"/>
        <v>0</v>
      </c>
      <c r="G139" s="510">
        <f t="shared" si="28"/>
        <v>0</v>
      </c>
      <c r="H139" s="630">
        <f t="shared" si="29"/>
        <v>0</v>
      </c>
      <c r="I139" s="631">
        <f t="shared" si="30"/>
        <v>0</v>
      </c>
      <c r="J139" s="504">
        <f t="shared" si="25"/>
        <v>0</v>
      </c>
      <c r="K139" s="504"/>
      <c r="L139" s="512"/>
      <c r="M139" s="504">
        <f t="shared" si="31"/>
        <v>0</v>
      </c>
      <c r="N139" s="512"/>
      <c r="O139" s="504">
        <f t="shared" si="32"/>
        <v>0</v>
      </c>
      <c r="P139" s="504">
        <f t="shared" si="33"/>
        <v>0</v>
      </c>
      <c r="Q139" s="243"/>
      <c r="R139" s="243"/>
      <c r="S139" s="243"/>
      <c r="T139" s="243"/>
      <c r="U139" s="243"/>
    </row>
    <row r="140" spans="2:21">
      <c r="B140" s="145" t="str">
        <f t="shared" si="21"/>
        <v/>
      </c>
      <c r="C140" s="495">
        <f>IF(D94="","-",+C139+1)</f>
        <v>2054</v>
      </c>
      <c r="D140" s="349">
        <f>IF(F139+SUM(E$100:E139)=D$93,F139,D$93-SUM(E$100:E139))</f>
        <v>0</v>
      </c>
      <c r="E140" s="629">
        <f t="shared" si="26"/>
        <v>0</v>
      </c>
      <c r="F140" s="510">
        <f t="shared" si="27"/>
        <v>0</v>
      </c>
      <c r="G140" s="510">
        <f t="shared" si="28"/>
        <v>0</v>
      </c>
      <c r="H140" s="630">
        <f t="shared" si="29"/>
        <v>0</v>
      </c>
      <c r="I140" s="631">
        <f t="shared" si="30"/>
        <v>0</v>
      </c>
      <c r="J140" s="504">
        <f t="shared" si="25"/>
        <v>0</v>
      </c>
      <c r="K140" s="504"/>
      <c r="L140" s="512"/>
      <c r="M140" s="504">
        <f t="shared" si="31"/>
        <v>0</v>
      </c>
      <c r="N140" s="512"/>
      <c r="O140" s="504">
        <f t="shared" si="32"/>
        <v>0</v>
      </c>
      <c r="P140" s="504">
        <f t="shared" si="33"/>
        <v>0</v>
      </c>
      <c r="Q140" s="243"/>
      <c r="R140" s="243"/>
      <c r="S140" s="243"/>
      <c r="T140" s="243"/>
      <c r="U140" s="243"/>
    </row>
    <row r="141" spans="2:21">
      <c r="B141" s="145" t="str">
        <f t="shared" si="21"/>
        <v/>
      </c>
      <c r="C141" s="495">
        <f>IF(D94="","-",+C140+1)</f>
        <v>2055</v>
      </c>
      <c r="D141" s="349">
        <f>IF(F140+SUM(E$100:E140)=D$93,F140,D$93-SUM(E$100:E140))</f>
        <v>0</v>
      </c>
      <c r="E141" s="629">
        <f t="shared" si="26"/>
        <v>0</v>
      </c>
      <c r="F141" s="510">
        <f t="shared" si="27"/>
        <v>0</v>
      </c>
      <c r="G141" s="510">
        <f t="shared" si="28"/>
        <v>0</v>
      </c>
      <c r="H141" s="630">
        <f t="shared" si="29"/>
        <v>0</v>
      </c>
      <c r="I141" s="631">
        <f t="shared" si="30"/>
        <v>0</v>
      </c>
      <c r="J141" s="504">
        <f t="shared" si="25"/>
        <v>0</v>
      </c>
      <c r="K141" s="504"/>
      <c r="L141" s="512"/>
      <c r="M141" s="504">
        <f t="shared" si="31"/>
        <v>0</v>
      </c>
      <c r="N141" s="512"/>
      <c r="O141" s="504">
        <f t="shared" si="32"/>
        <v>0</v>
      </c>
      <c r="P141" s="504">
        <f t="shared" si="33"/>
        <v>0</v>
      </c>
      <c r="Q141" s="243"/>
      <c r="R141" s="243"/>
      <c r="S141" s="243"/>
      <c r="T141" s="243"/>
      <c r="U141" s="243"/>
    </row>
    <row r="142" spans="2:21">
      <c r="B142" s="145" t="str">
        <f t="shared" si="21"/>
        <v/>
      </c>
      <c r="C142" s="495">
        <f>IF(D94="","-",+C141+1)</f>
        <v>2056</v>
      </c>
      <c r="D142" s="349">
        <f>IF(F141+SUM(E$100:E141)=D$93,F141,D$93-SUM(E$100:E141))</f>
        <v>0</v>
      </c>
      <c r="E142" s="629">
        <f t="shared" si="26"/>
        <v>0</v>
      </c>
      <c r="F142" s="510">
        <f t="shared" si="27"/>
        <v>0</v>
      </c>
      <c r="G142" s="510">
        <f t="shared" si="28"/>
        <v>0</v>
      </c>
      <c r="H142" s="630">
        <f t="shared" si="29"/>
        <v>0</v>
      </c>
      <c r="I142" s="631">
        <f t="shared" si="30"/>
        <v>0</v>
      </c>
      <c r="J142" s="504">
        <f t="shared" si="25"/>
        <v>0</v>
      </c>
      <c r="K142" s="504"/>
      <c r="L142" s="512"/>
      <c r="M142" s="504">
        <f t="shared" si="31"/>
        <v>0</v>
      </c>
      <c r="N142" s="512"/>
      <c r="O142" s="504">
        <f t="shared" si="32"/>
        <v>0</v>
      </c>
      <c r="P142" s="504">
        <f t="shared" si="33"/>
        <v>0</v>
      </c>
      <c r="Q142" s="243"/>
      <c r="R142" s="243"/>
      <c r="S142" s="243"/>
      <c r="T142" s="243"/>
      <c r="U142" s="243"/>
    </row>
    <row r="143" spans="2:21">
      <c r="B143" s="145" t="str">
        <f t="shared" si="21"/>
        <v/>
      </c>
      <c r="C143" s="495">
        <f>IF(D94="","-",+C142+1)</f>
        <v>2057</v>
      </c>
      <c r="D143" s="349">
        <f>IF(F142+SUM(E$100:E142)=D$93,F142,D$93-SUM(E$100:E142))</f>
        <v>0</v>
      </c>
      <c r="E143" s="629">
        <f t="shared" si="26"/>
        <v>0</v>
      </c>
      <c r="F143" s="510">
        <f t="shared" si="27"/>
        <v>0</v>
      </c>
      <c r="G143" s="510">
        <f t="shared" si="28"/>
        <v>0</v>
      </c>
      <c r="H143" s="630">
        <f t="shared" si="29"/>
        <v>0</v>
      </c>
      <c r="I143" s="631">
        <f t="shared" si="30"/>
        <v>0</v>
      </c>
      <c r="J143" s="504">
        <f t="shared" si="25"/>
        <v>0</v>
      </c>
      <c r="K143" s="504"/>
      <c r="L143" s="512"/>
      <c r="M143" s="504">
        <f t="shared" si="31"/>
        <v>0</v>
      </c>
      <c r="N143" s="512"/>
      <c r="O143" s="504">
        <f t="shared" si="32"/>
        <v>0</v>
      </c>
      <c r="P143" s="504">
        <f t="shared" si="33"/>
        <v>0</v>
      </c>
      <c r="Q143" s="243"/>
      <c r="R143" s="243"/>
      <c r="S143" s="243"/>
      <c r="T143" s="243"/>
      <c r="U143" s="243"/>
    </row>
    <row r="144" spans="2:21">
      <c r="B144" s="145" t="str">
        <f t="shared" si="21"/>
        <v/>
      </c>
      <c r="C144" s="495">
        <f>IF(D94="","-",+C143+1)</f>
        <v>2058</v>
      </c>
      <c r="D144" s="349">
        <f>IF(F143+SUM(E$100:E143)=D$93,F143,D$93-SUM(E$100:E143))</f>
        <v>0</v>
      </c>
      <c r="E144" s="629">
        <f t="shared" si="26"/>
        <v>0</v>
      </c>
      <c r="F144" s="510">
        <f t="shared" si="27"/>
        <v>0</v>
      </c>
      <c r="G144" s="510">
        <f t="shared" si="28"/>
        <v>0</v>
      </c>
      <c r="H144" s="630">
        <f t="shared" si="29"/>
        <v>0</v>
      </c>
      <c r="I144" s="631">
        <f t="shared" si="30"/>
        <v>0</v>
      </c>
      <c r="J144" s="504">
        <f t="shared" si="25"/>
        <v>0</v>
      </c>
      <c r="K144" s="504"/>
      <c r="L144" s="512"/>
      <c r="M144" s="504">
        <f t="shared" si="31"/>
        <v>0</v>
      </c>
      <c r="N144" s="512"/>
      <c r="O144" s="504">
        <f t="shared" si="32"/>
        <v>0</v>
      </c>
      <c r="P144" s="504">
        <f t="shared" si="33"/>
        <v>0</v>
      </c>
      <c r="Q144" s="243"/>
      <c r="R144" s="243"/>
      <c r="S144" s="243"/>
      <c r="T144" s="243"/>
      <c r="U144" s="243"/>
    </row>
    <row r="145" spans="2:21">
      <c r="B145" s="145" t="str">
        <f t="shared" si="21"/>
        <v/>
      </c>
      <c r="C145" s="495">
        <f>IF(D94="","-",+C144+1)</f>
        <v>2059</v>
      </c>
      <c r="D145" s="349">
        <f>IF(F144+SUM(E$100:E144)=D$93,F144,D$93-SUM(E$100:E144))</f>
        <v>0</v>
      </c>
      <c r="E145" s="629">
        <f t="shared" si="26"/>
        <v>0</v>
      </c>
      <c r="F145" s="510">
        <f t="shared" si="27"/>
        <v>0</v>
      </c>
      <c r="G145" s="510">
        <f t="shared" si="28"/>
        <v>0</v>
      </c>
      <c r="H145" s="630">
        <f t="shared" si="29"/>
        <v>0</v>
      </c>
      <c r="I145" s="631">
        <f t="shared" si="30"/>
        <v>0</v>
      </c>
      <c r="J145" s="504">
        <f t="shared" si="25"/>
        <v>0</v>
      </c>
      <c r="K145" s="504"/>
      <c r="L145" s="512"/>
      <c r="M145" s="504">
        <f t="shared" si="31"/>
        <v>0</v>
      </c>
      <c r="N145" s="512"/>
      <c r="O145" s="504">
        <f t="shared" si="32"/>
        <v>0</v>
      </c>
      <c r="P145" s="504">
        <f t="shared" si="33"/>
        <v>0</v>
      </c>
      <c r="Q145" s="243"/>
      <c r="R145" s="243"/>
      <c r="S145" s="243"/>
      <c r="T145" s="243"/>
      <c r="U145" s="243"/>
    </row>
    <row r="146" spans="2:21">
      <c r="B146" s="145" t="str">
        <f t="shared" si="21"/>
        <v/>
      </c>
      <c r="C146" s="495">
        <f>IF(D94="","-",+C145+1)</f>
        <v>2060</v>
      </c>
      <c r="D146" s="349">
        <f>IF(F145+SUM(E$100:E145)=D$93,F145,D$93-SUM(E$100:E145))</f>
        <v>0</v>
      </c>
      <c r="E146" s="629">
        <f t="shared" si="26"/>
        <v>0</v>
      </c>
      <c r="F146" s="510">
        <f t="shared" si="27"/>
        <v>0</v>
      </c>
      <c r="G146" s="510">
        <f t="shared" si="28"/>
        <v>0</v>
      </c>
      <c r="H146" s="630">
        <f t="shared" si="29"/>
        <v>0</v>
      </c>
      <c r="I146" s="631">
        <f t="shared" si="30"/>
        <v>0</v>
      </c>
      <c r="J146" s="504">
        <f t="shared" si="25"/>
        <v>0</v>
      </c>
      <c r="K146" s="504"/>
      <c r="L146" s="512"/>
      <c r="M146" s="504">
        <f t="shared" si="31"/>
        <v>0</v>
      </c>
      <c r="N146" s="512"/>
      <c r="O146" s="504">
        <f t="shared" si="32"/>
        <v>0</v>
      </c>
      <c r="P146" s="504">
        <f t="shared" si="33"/>
        <v>0</v>
      </c>
      <c r="Q146" s="243"/>
      <c r="R146" s="243"/>
      <c r="S146" s="243"/>
      <c r="T146" s="243"/>
      <c r="U146" s="243"/>
    </row>
    <row r="147" spans="2:21">
      <c r="B147" s="145" t="str">
        <f t="shared" si="21"/>
        <v/>
      </c>
      <c r="C147" s="495">
        <f>IF(D94="","-",+C146+1)</f>
        <v>2061</v>
      </c>
      <c r="D147" s="349">
        <f>IF(F146+SUM(E$100:E146)=D$93,F146,D$93-SUM(E$100:E146))</f>
        <v>0</v>
      </c>
      <c r="E147" s="629">
        <f t="shared" si="26"/>
        <v>0</v>
      </c>
      <c r="F147" s="510">
        <f t="shared" si="27"/>
        <v>0</v>
      </c>
      <c r="G147" s="510">
        <f t="shared" si="28"/>
        <v>0</v>
      </c>
      <c r="H147" s="630">
        <f t="shared" si="29"/>
        <v>0</v>
      </c>
      <c r="I147" s="631">
        <f t="shared" si="30"/>
        <v>0</v>
      </c>
      <c r="J147" s="504">
        <f t="shared" si="25"/>
        <v>0</v>
      </c>
      <c r="K147" s="504"/>
      <c r="L147" s="512"/>
      <c r="M147" s="504">
        <f t="shared" si="31"/>
        <v>0</v>
      </c>
      <c r="N147" s="512"/>
      <c r="O147" s="504">
        <f t="shared" si="32"/>
        <v>0</v>
      </c>
      <c r="P147" s="504">
        <f t="shared" si="33"/>
        <v>0</v>
      </c>
      <c r="Q147" s="243"/>
      <c r="R147" s="243"/>
      <c r="S147" s="243"/>
      <c r="T147" s="243"/>
      <c r="U147" s="243"/>
    </row>
    <row r="148" spans="2:21">
      <c r="B148" s="145" t="str">
        <f t="shared" si="21"/>
        <v/>
      </c>
      <c r="C148" s="495">
        <f>IF(D94="","-",+C147+1)</f>
        <v>2062</v>
      </c>
      <c r="D148" s="349">
        <f>IF(F147+SUM(E$100:E147)=D$93,F147,D$93-SUM(E$100:E147))</f>
        <v>0</v>
      </c>
      <c r="E148" s="629">
        <f t="shared" si="26"/>
        <v>0</v>
      </c>
      <c r="F148" s="510">
        <f t="shared" si="27"/>
        <v>0</v>
      </c>
      <c r="G148" s="510">
        <f t="shared" si="28"/>
        <v>0</v>
      </c>
      <c r="H148" s="630">
        <f t="shared" si="29"/>
        <v>0</v>
      </c>
      <c r="I148" s="631">
        <f t="shared" si="30"/>
        <v>0</v>
      </c>
      <c r="J148" s="504">
        <f t="shared" si="25"/>
        <v>0</v>
      </c>
      <c r="K148" s="504"/>
      <c r="L148" s="512"/>
      <c r="M148" s="504">
        <f t="shared" si="31"/>
        <v>0</v>
      </c>
      <c r="N148" s="512"/>
      <c r="O148" s="504">
        <f t="shared" si="32"/>
        <v>0</v>
      </c>
      <c r="P148" s="504">
        <f t="shared" si="33"/>
        <v>0</v>
      </c>
      <c r="Q148" s="243"/>
      <c r="R148" s="243"/>
      <c r="S148" s="243"/>
      <c r="T148" s="243"/>
      <c r="U148" s="243"/>
    </row>
    <row r="149" spans="2:21">
      <c r="B149" s="145" t="str">
        <f t="shared" si="21"/>
        <v/>
      </c>
      <c r="C149" s="495">
        <f>IF(D94="","-",+C148+1)</f>
        <v>2063</v>
      </c>
      <c r="D149" s="349">
        <f>IF(F148+SUM(E$100:E148)=D$93,F148,D$93-SUM(E$100:E148))</f>
        <v>0</v>
      </c>
      <c r="E149" s="629">
        <f t="shared" si="26"/>
        <v>0</v>
      </c>
      <c r="F149" s="510">
        <f t="shared" si="27"/>
        <v>0</v>
      </c>
      <c r="G149" s="510">
        <f t="shared" si="28"/>
        <v>0</v>
      </c>
      <c r="H149" s="630">
        <f t="shared" si="29"/>
        <v>0</v>
      </c>
      <c r="I149" s="631">
        <f t="shared" si="30"/>
        <v>0</v>
      </c>
      <c r="J149" s="504">
        <f t="shared" si="25"/>
        <v>0</v>
      </c>
      <c r="K149" s="504"/>
      <c r="L149" s="512"/>
      <c r="M149" s="504">
        <f t="shared" si="31"/>
        <v>0</v>
      </c>
      <c r="N149" s="512"/>
      <c r="O149" s="504">
        <f t="shared" si="32"/>
        <v>0</v>
      </c>
      <c r="P149" s="504">
        <f t="shared" si="33"/>
        <v>0</v>
      </c>
      <c r="Q149" s="243"/>
      <c r="R149" s="243"/>
      <c r="S149" s="243"/>
      <c r="T149" s="243"/>
      <c r="U149" s="243"/>
    </row>
    <row r="150" spans="2:21">
      <c r="B150" s="145" t="str">
        <f t="shared" si="21"/>
        <v/>
      </c>
      <c r="C150" s="495">
        <f>IF(D94="","-",+C149+1)</f>
        <v>2064</v>
      </c>
      <c r="D150" s="349">
        <f>IF(F149+SUM(E$100:E149)=D$93,F149,D$93-SUM(E$100:E149))</f>
        <v>0</v>
      </c>
      <c r="E150" s="629">
        <f t="shared" si="26"/>
        <v>0</v>
      </c>
      <c r="F150" s="510">
        <f t="shared" si="27"/>
        <v>0</v>
      </c>
      <c r="G150" s="510">
        <f t="shared" si="28"/>
        <v>0</v>
      </c>
      <c r="H150" s="630">
        <f t="shared" si="29"/>
        <v>0</v>
      </c>
      <c r="I150" s="631">
        <f t="shared" si="30"/>
        <v>0</v>
      </c>
      <c r="J150" s="504">
        <f t="shared" si="25"/>
        <v>0</v>
      </c>
      <c r="K150" s="504"/>
      <c r="L150" s="512"/>
      <c r="M150" s="504">
        <f t="shared" si="31"/>
        <v>0</v>
      </c>
      <c r="N150" s="512"/>
      <c r="O150" s="504">
        <f t="shared" si="32"/>
        <v>0</v>
      </c>
      <c r="P150" s="504">
        <f t="shared" si="33"/>
        <v>0</v>
      </c>
      <c r="Q150" s="243"/>
      <c r="R150" s="243"/>
      <c r="S150" s="243"/>
      <c r="T150" s="243"/>
      <c r="U150" s="243"/>
    </row>
    <row r="151" spans="2:21">
      <c r="B151" s="145" t="str">
        <f t="shared" si="21"/>
        <v/>
      </c>
      <c r="C151" s="495">
        <f>IF(D94="","-",+C150+1)</f>
        <v>2065</v>
      </c>
      <c r="D151" s="349">
        <f>IF(F150+SUM(E$100:E150)=D$93,F150,D$93-SUM(E$100:E150))</f>
        <v>0</v>
      </c>
      <c r="E151" s="629">
        <f t="shared" si="26"/>
        <v>0</v>
      </c>
      <c r="F151" s="510">
        <f t="shared" si="27"/>
        <v>0</v>
      </c>
      <c r="G151" s="510">
        <f t="shared" si="28"/>
        <v>0</v>
      </c>
      <c r="H151" s="630">
        <f t="shared" si="29"/>
        <v>0</v>
      </c>
      <c r="I151" s="631">
        <f t="shared" si="30"/>
        <v>0</v>
      </c>
      <c r="J151" s="504">
        <f t="shared" si="25"/>
        <v>0</v>
      </c>
      <c r="K151" s="504"/>
      <c r="L151" s="512"/>
      <c r="M151" s="504">
        <f t="shared" si="31"/>
        <v>0</v>
      </c>
      <c r="N151" s="512"/>
      <c r="O151" s="504">
        <f t="shared" si="32"/>
        <v>0</v>
      </c>
      <c r="P151" s="504">
        <f t="shared" si="33"/>
        <v>0</v>
      </c>
      <c r="Q151" s="243"/>
      <c r="R151" s="243"/>
      <c r="S151" s="243"/>
      <c r="T151" s="243"/>
      <c r="U151" s="243"/>
    </row>
    <row r="152" spans="2:21">
      <c r="B152" s="145" t="str">
        <f t="shared" si="21"/>
        <v/>
      </c>
      <c r="C152" s="495">
        <f>IF(D94="","-",+C151+1)</f>
        <v>2066</v>
      </c>
      <c r="D152" s="349">
        <f>IF(F151+SUM(E$100:E151)=D$93,F151,D$93-SUM(E$100:E151))</f>
        <v>0</v>
      </c>
      <c r="E152" s="629">
        <f t="shared" si="26"/>
        <v>0</v>
      </c>
      <c r="F152" s="510">
        <f t="shared" si="27"/>
        <v>0</v>
      </c>
      <c r="G152" s="510">
        <f t="shared" si="28"/>
        <v>0</v>
      </c>
      <c r="H152" s="630">
        <f t="shared" si="29"/>
        <v>0</v>
      </c>
      <c r="I152" s="631">
        <f t="shared" si="30"/>
        <v>0</v>
      </c>
      <c r="J152" s="504">
        <f t="shared" si="25"/>
        <v>0</v>
      </c>
      <c r="K152" s="504"/>
      <c r="L152" s="512"/>
      <c r="M152" s="504">
        <f t="shared" si="31"/>
        <v>0</v>
      </c>
      <c r="N152" s="512"/>
      <c r="O152" s="504">
        <f t="shared" si="32"/>
        <v>0</v>
      </c>
      <c r="P152" s="504">
        <f t="shared" si="33"/>
        <v>0</v>
      </c>
      <c r="Q152" s="243"/>
      <c r="R152" s="243"/>
      <c r="S152" s="243"/>
      <c r="T152" s="243"/>
      <c r="U152" s="243"/>
    </row>
    <row r="153" spans="2:21">
      <c r="B153" s="145" t="str">
        <f t="shared" si="21"/>
        <v/>
      </c>
      <c r="C153" s="495">
        <f>IF(D94="","-",+C152+1)</f>
        <v>2067</v>
      </c>
      <c r="D153" s="349">
        <f>IF(F152+SUM(E$100:E152)=D$93,F152,D$93-SUM(E$100:E152))</f>
        <v>0</v>
      </c>
      <c r="E153" s="629">
        <f t="shared" si="26"/>
        <v>0</v>
      </c>
      <c r="F153" s="510">
        <f t="shared" si="27"/>
        <v>0</v>
      </c>
      <c r="G153" s="510">
        <f t="shared" si="28"/>
        <v>0</v>
      </c>
      <c r="H153" s="630">
        <f t="shared" si="29"/>
        <v>0</v>
      </c>
      <c r="I153" s="631">
        <f t="shared" si="30"/>
        <v>0</v>
      </c>
      <c r="J153" s="504">
        <f t="shared" si="25"/>
        <v>0</v>
      </c>
      <c r="K153" s="504"/>
      <c r="L153" s="512"/>
      <c r="M153" s="504">
        <f t="shared" si="31"/>
        <v>0</v>
      </c>
      <c r="N153" s="512"/>
      <c r="O153" s="504">
        <f t="shared" si="32"/>
        <v>0</v>
      </c>
      <c r="P153" s="504">
        <f t="shared" si="33"/>
        <v>0</v>
      </c>
      <c r="Q153" s="243"/>
      <c r="R153" s="243"/>
      <c r="S153" s="243"/>
      <c r="T153" s="243"/>
      <c r="U153" s="243"/>
    </row>
    <row r="154" spans="2:21">
      <c r="B154" s="145" t="str">
        <f t="shared" si="21"/>
        <v/>
      </c>
      <c r="C154" s="495">
        <f>IF(D94="","-",+C153+1)</f>
        <v>2068</v>
      </c>
      <c r="D154" s="349">
        <f>IF(F153+SUM(E$100:E153)=D$93,F153,D$93-SUM(E$100:E153))</f>
        <v>0</v>
      </c>
      <c r="E154" s="629">
        <f t="shared" si="26"/>
        <v>0</v>
      </c>
      <c r="F154" s="510">
        <f t="shared" si="27"/>
        <v>0</v>
      </c>
      <c r="G154" s="510">
        <f t="shared" si="28"/>
        <v>0</v>
      </c>
      <c r="H154" s="630">
        <f t="shared" si="29"/>
        <v>0</v>
      </c>
      <c r="I154" s="631">
        <f t="shared" si="30"/>
        <v>0</v>
      </c>
      <c r="J154" s="504">
        <f t="shared" si="25"/>
        <v>0</v>
      </c>
      <c r="K154" s="504"/>
      <c r="L154" s="512"/>
      <c r="M154" s="504">
        <f t="shared" si="31"/>
        <v>0</v>
      </c>
      <c r="N154" s="512"/>
      <c r="O154" s="504">
        <f t="shared" si="32"/>
        <v>0</v>
      </c>
      <c r="P154" s="504">
        <f t="shared" si="33"/>
        <v>0</v>
      </c>
      <c r="Q154" s="243"/>
      <c r="R154" s="243"/>
      <c r="S154" s="243"/>
      <c r="T154" s="243"/>
      <c r="U154" s="243"/>
    </row>
    <row r="155" spans="2:21" ht="13.5" thickBot="1">
      <c r="B155" s="145" t="str">
        <f t="shared" si="21"/>
        <v/>
      </c>
      <c r="C155" s="524">
        <f>IF(D94="","-",+C154+1)</f>
        <v>2069</v>
      </c>
      <c r="D155" s="618">
        <f>IF(F154+SUM(E$100:E154)=D$93,F154,D$93-SUM(E$100:E154))</f>
        <v>0</v>
      </c>
      <c r="E155" s="632">
        <f t="shared" si="26"/>
        <v>0</v>
      </c>
      <c r="F155" s="527">
        <f t="shared" si="27"/>
        <v>0</v>
      </c>
      <c r="G155" s="527">
        <f t="shared" si="28"/>
        <v>0</v>
      </c>
      <c r="H155" s="633">
        <f t="shared" si="29"/>
        <v>0</v>
      </c>
      <c r="I155" s="634">
        <f t="shared" si="30"/>
        <v>0</v>
      </c>
      <c r="J155" s="531">
        <f t="shared" si="25"/>
        <v>0</v>
      </c>
      <c r="K155" s="504"/>
      <c r="L155" s="530"/>
      <c r="M155" s="531">
        <f t="shared" si="31"/>
        <v>0</v>
      </c>
      <c r="N155" s="530"/>
      <c r="O155" s="531">
        <f t="shared" si="32"/>
        <v>0</v>
      </c>
      <c r="P155" s="531">
        <f t="shared" si="33"/>
        <v>0</v>
      </c>
      <c r="Q155" s="243"/>
      <c r="R155" s="243"/>
      <c r="S155" s="243"/>
      <c r="T155" s="243"/>
      <c r="U155" s="243"/>
    </row>
    <row r="156" spans="2:21">
      <c r="C156" s="349" t="s">
        <v>75</v>
      </c>
      <c r="D156" s="294"/>
      <c r="E156" s="294">
        <f>SUM(E100:E155)</f>
        <v>20242585.000000004</v>
      </c>
      <c r="F156" s="294"/>
      <c r="G156" s="294"/>
      <c r="H156" s="294">
        <f>SUM(H100:H155)</f>
        <v>49813041.389652476</v>
      </c>
      <c r="I156" s="294">
        <f>SUM(I100:I155)</f>
        <v>49813041.389652476</v>
      </c>
      <c r="J156" s="294">
        <f>SUM(J100:J155)</f>
        <v>0</v>
      </c>
      <c r="K156" s="294"/>
      <c r="L156" s="294"/>
      <c r="M156" s="294"/>
      <c r="N156" s="294"/>
      <c r="O156" s="294"/>
      <c r="P156" s="243"/>
      <c r="Q156" s="243"/>
      <c r="R156" s="243"/>
      <c r="S156" s="243"/>
      <c r="T156" s="243"/>
      <c r="U156" s="243"/>
    </row>
    <row r="157" spans="2:21">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c r="C158" s="574"/>
      <c r="D158" s="292"/>
      <c r="E158" s="243"/>
      <c r="F158" s="243"/>
      <c r="G158" s="243"/>
      <c r="H158" s="243"/>
      <c r="I158" s="325"/>
      <c r="J158" s="325"/>
      <c r="K158" s="294"/>
      <c r="L158" s="325"/>
      <c r="M158" s="325"/>
      <c r="N158" s="325"/>
      <c r="O158" s="325"/>
      <c r="P158" s="243"/>
      <c r="Q158" s="243"/>
      <c r="R158" s="243"/>
      <c r="S158" s="243"/>
      <c r="T158" s="243"/>
      <c r="U158" s="243"/>
    </row>
    <row r="159" spans="2:21">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c r="C162" s="575"/>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39" priority="1" stopIfTrue="1" operator="equal">
      <formula>$I$10</formula>
    </cfRule>
  </conditionalFormatting>
  <conditionalFormatting sqref="C100:C155">
    <cfRule type="cellIs" dxfId="38"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39997558519241921"/>
  </sheetPr>
  <dimension ref="A1:U163"/>
  <sheetViews>
    <sheetView view="pageBreakPreview" zoomScale="78" zoomScaleNormal="100" zoomScaleSheetLayoutView="78"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12 of 23</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1602683.1037737736</v>
      </c>
      <c r="P5" s="243"/>
      <c r="R5" s="243"/>
      <c r="S5" s="243"/>
      <c r="T5" s="243"/>
      <c r="U5" s="243"/>
    </row>
    <row r="6" spans="1:21" ht="15.75">
      <c r="C6" s="235"/>
      <c r="D6" s="292"/>
      <c r="E6" s="243"/>
      <c r="F6" s="243"/>
      <c r="G6" s="243"/>
      <c r="H6" s="449"/>
      <c r="I6" s="449"/>
      <c r="J6" s="450"/>
      <c r="K6" s="451" t="s">
        <v>243</v>
      </c>
      <c r="L6" s="452"/>
      <c r="M6" s="278"/>
      <c r="N6" s="453">
        <f>VLOOKUP(I10,C17:I73,6)</f>
        <v>1602683.1037737736</v>
      </c>
      <c r="O6" s="243"/>
      <c r="P6" s="243"/>
      <c r="R6" s="243"/>
      <c r="S6" s="243"/>
      <c r="T6" s="243"/>
      <c r="U6" s="243"/>
    </row>
    <row r="7" spans="1:21" ht="13.5" thickBot="1">
      <c r="C7" s="454" t="s">
        <v>46</v>
      </c>
      <c r="D7" s="455" t="s">
        <v>224</v>
      </c>
      <c r="E7" s="243"/>
      <c r="F7" s="243"/>
      <c r="G7" s="243"/>
      <c r="H7" s="325"/>
      <c r="I7" s="325"/>
      <c r="J7" s="294"/>
      <c r="K7" s="456" t="s">
        <v>47</v>
      </c>
      <c r="L7" s="457"/>
      <c r="M7" s="457"/>
      <c r="N7" s="458">
        <f>+N6-N5</f>
        <v>0</v>
      </c>
      <c r="O7" s="243"/>
      <c r="P7" s="243"/>
      <c r="R7" s="243"/>
      <c r="S7" s="243"/>
      <c r="T7" s="243"/>
      <c r="U7" s="243"/>
    </row>
    <row r="8" spans="1:21" ht="13.5" thickBot="1">
      <c r="C8" s="459"/>
      <c r="D8" s="625" t="s">
        <v>230</v>
      </c>
      <c r="E8" s="461"/>
      <c r="F8" s="461"/>
      <c r="G8" s="461"/>
      <c r="H8" s="461"/>
      <c r="I8" s="461"/>
      <c r="J8" s="462"/>
      <c r="K8" s="461"/>
      <c r="L8" s="461"/>
      <c r="M8" s="461"/>
      <c r="N8" s="461"/>
      <c r="O8" s="462"/>
      <c r="P8" s="248"/>
      <c r="R8" s="243"/>
      <c r="S8" s="243"/>
      <c r="T8" s="243"/>
      <c r="U8" s="243"/>
    </row>
    <row r="9" spans="1:21" ht="13.5" thickBot="1">
      <c r="C9" s="463" t="s">
        <v>48</v>
      </c>
      <c r="D9" s="464" t="s">
        <v>223</v>
      </c>
      <c r="E9" s="647" t="s">
        <v>300</v>
      </c>
      <c r="F9" s="465"/>
      <c r="G9" s="465"/>
      <c r="H9" s="465"/>
      <c r="I9" s="466"/>
      <c r="J9" s="467"/>
      <c r="O9" s="468"/>
      <c r="P9" s="278"/>
      <c r="R9" s="243"/>
      <c r="S9" s="243"/>
      <c r="T9" s="243"/>
      <c r="U9" s="243"/>
    </row>
    <row r="10" spans="1:21">
      <c r="C10" s="469" t="s">
        <v>49</v>
      </c>
      <c r="D10" s="470">
        <v>13254470.189999999</v>
      </c>
      <c r="E10" s="299" t="s">
        <v>50</v>
      </c>
      <c r="F10" s="468"/>
      <c r="G10" s="408"/>
      <c r="H10" s="408"/>
      <c r="I10" s="471">
        <f>+OKT.WS.F.BPU.ATRR.Projected!R101</f>
        <v>2022</v>
      </c>
      <c r="J10" s="467"/>
      <c r="K10" s="294" t="s">
        <v>51</v>
      </c>
      <c r="O10" s="278"/>
      <c r="P10" s="278"/>
      <c r="R10" s="243"/>
      <c r="S10" s="243"/>
      <c r="T10" s="243"/>
      <c r="U10" s="243"/>
    </row>
    <row r="11" spans="1:21">
      <c r="C11" s="472" t="s">
        <v>52</v>
      </c>
      <c r="D11" s="473">
        <v>2014</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4</v>
      </c>
      <c r="E12" s="472" t="s">
        <v>55</v>
      </c>
      <c r="F12" s="408"/>
      <c r="G12" s="220"/>
      <c r="H12" s="220"/>
      <c r="I12" s="476">
        <f>OKT.WS.F.BPU.ATRR.Projected!$F$79</f>
        <v>0.11475877389767174</v>
      </c>
      <c r="J12" s="413"/>
      <c r="K12" s="145" t="s">
        <v>56</v>
      </c>
      <c r="O12" s="278"/>
      <c r="P12" s="278"/>
      <c r="R12" s="243"/>
      <c r="S12" s="243"/>
      <c r="T12" s="243"/>
      <c r="U12" s="243"/>
    </row>
    <row r="13" spans="1:21">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401650.61181818182</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73" si="0">IF(D17=F16,"","IU")</f>
        <v>IU</v>
      </c>
      <c r="C17" s="495">
        <f>IF(D11= "","-",D11)</f>
        <v>2014</v>
      </c>
      <c r="D17" s="612">
        <v>13254470.189999999</v>
      </c>
      <c r="E17" s="620">
        <v>38215.310782576453</v>
      </c>
      <c r="F17" s="612">
        <v>13216254.879217423</v>
      </c>
      <c r="G17" s="620">
        <v>401752.61137886974</v>
      </c>
      <c r="H17" s="617">
        <v>401752.61137886974</v>
      </c>
      <c r="I17" s="635">
        <v>0</v>
      </c>
      <c r="J17" s="500"/>
      <c r="K17" s="501">
        <f t="shared" ref="K17:K22" si="1">G17</f>
        <v>401752.61137886974</v>
      </c>
      <c r="L17" s="502">
        <f t="shared" ref="L17:L22" si="2">IF(K17&lt;&gt;0,+G17-K17,0)</f>
        <v>0</v>
      </c>
      <c r="M17" s="501">
        <f t="shared" ref="M17:M22" si="3">H17</f>
        <v>401752.61137886974</v>
      </c>
      <c r="N17" s="503">
        <f>IF(M17&lt;&gt;0,+H17-M17,0)</f>
        <v>0</v>
      </c>
      <c r="O17" s="504">
        <f>+N17-L17</f>
        <v>0</v>
      </c>
      <c r="P17" s="278"/>
      <c r="R17" s="243"/>
      <c r="S17" s="243"/>
      <c r="T17" s="243"/>
      <c r="U17" s="243"/>
    </row>
    <row r="18" spans="2:21">
      <c r="B18" s="145" t="str">
        <f t="shared" si="0"/>
        <v/>
      </c>
      <c r="C18" s="495">
        <f>IF(D11="","-",+C17+1)</f>
        <v>2015</v>
      </c>
      <c r="D18" s="614">
        <v>13216254.879217423</v>
      </c>
      <c r="E18" s="613">
        <v>229291.86469545873</v>
      </c>
      <c r="F18" s="614">
        <v>12986963.014521964</v>
      </c>
      <c r="G18" s="613">
        <v>1658212.6960173119</v>
      </c>
      <c r="H18" s="617">
        <v>1658212.6960173119</v>
      </c>
      <c r="I18" s="635">
        <v>0</v>
      </c>
      <c r="J18" s="500"/>
      <c r="K18" s="506">
        <f t="shared" si="1"/>
        <v>1658212.6960173119</v>
      </c>
      <c r="L18" s="507">
        <f t="shared" si="2"/>
        <v>0</v>
      </c>
      <c r="M18" s="506">
        <f t="shared" si="3"/>
        <v>1658212.6960173119</v>
      </c>
      <c r="N18" s="504">
        <f>IF(M18&lt;&gt;0,+H18-M18,0)</f>
        <v>0</v>
      </c>
      <c r="O18" s="504">
        <f>+N18-L18</f>
        <v>0</v>
      </c>
      <c r="P18" s="278"/>
      <c r="R18" s="243"/>
      <c r="S18" s="243"/>
      <c r="T18" s="243"/>
      <c r="U18" s="243"/>
    </row>
    <row r="19" spans="2:21">
      <c r="B19" s="145" t="str">
        <f t="shared" si="0"/>
        <v/>
      </c>
      <c r="C19" s="495">
        <f>IF(D11="","-",+C18+1)</f>
        <v>2016</v>
      </c>
      <c r="D19" s="614">
        <v>12986963.014521964</v>
      </c>
      <c r="E19" s="613">
        <v>229291.86469545873</v>
      </c>
      <c r="F19" s="614">
        <v>12757671.149826504</v>
      </c>
      <c r="G19" s="613">
        <v>1544166.8315919416</v>
      </c>
      <c r="H19" s="617">
        <v>1544166.8315919416</v>
      </c>
      <c r="I19" s="500">
        <v>0</v>
      </c>
      <c r="J19" s="500"/>
      <c r="K19" s="506">
        <f t="shared" si="1"/>
        <v>1544166.8315919416</v>
      </c>
      <c r="L19" s="507">
        <f t="shared" si="2"/>
        <v>0</v>
      </c>
      <c r="M19" s="506">
        <f t="shared" si="3"/>
        <v>1544166.8315919416</v>
      </c>
      <c r="N19" s="504">
        <f>IF(M19&lt;&gt;0,+H19-M19,0)</f>
        <v>0</v>
      </c>
      <c r="O19" s="504">
        <f>+N19-L19</f>
        <v>0</v>
      </c>
      <c r="P19" s="278"/>
      <c r="R19" s="243"/>
      <c r="S19" s="243"/>
      <c r="T19" s="243"/>
      <c r="U19" s="243"/>
    </row>
    <row r="20" spans="2:21">
      <c r="B20" s="145" t="str">
        <f t="shared" si="0"/>
        <v/>
      </c>
      <c r="C20" s="495">
        <f>IF(D11="","-",+C19+1)</f>
        <v>2017</v>
      </c>
      <c r="D20" s="614">
        <v>12757671.149826504</v>
      </c>
      <c r="E20" s="613">
        <v>275420.65562452108</v>
      </c>
      <c r="F20" s="614">
        <v>12482250.494201982</v>
      </c>
      <c r="G20" s="613">
        <v>1622010.458293594</v>
      </c>
      <c r="H20" s="617">
        <v>1622010.458293594</v>
      </c>
      <c r="I20" s="500">
        <f>H20-G20</f>
        <v>0</v>
      </c>
      <c r="J20" s="500"/>
      <c r="K20" s="506">
        <f t="shared" si="1"/>
        <v>1622010.458293594</v>
      </c>
      <c r="L20" s="507">
        <f t="shared" si="2"/>
        <v>0</v>
      </c>
      <c r="M20" s="506">
        <f t="shared" si="3"/>
        <v>1622010.458293594</v>
      </c>
      <c r="N20" s="504">
        <f t="shared" ref="N20:N73" si="4">IF(M20&lt;&gt;0,+H20-M20,0)</f>
        <v>0</v>
      </c>
      <c r="O20" s="504">
        <f t="shared" ref="O20:O73" si="5">+N20-L20</f>
        <v>0</v>
      </c>
      <c r="P20" s="278"/>
      <c r="R20" s="243"/>
      <c r="S20" s="243"/>
      <c r="T20" s="243"/>
      <c r="U20" s="243"/>
    </row>
    <row r="21" spans="2:21">
      <c r="B21" s="145" t="str">
        <f t="shared" si="0"/>
        <v>IU</v>
      </c>
      <c r="C21" s="495">
        <f>IF(D11="","-",+C20+1)</f>
        <v>2018</v>
      </c>
      <c r="D21" s="614">
        <v>12221641.369282497</v>
      </c>
      <c r="E21" s="613">
        <v>325060.34019690572</v>
      </c>
      <c r="F21" s="614">
        <v>11896581.029085591</v>
      </c>
      <c r="G21" s="613">
        <v>1741897.6993738853</v>
      </c>
      <c r="H21" s="617">
        <v>1741897.6993738853</v>
      </c>
      <c r="I21" s="500">
        <f t="shared" ref="I21:I73" si="6">H21-G21</f>
        <v>0</v>
      </c>
      <c r="J21" s="500"/>
      <c r="K21" s="506">
        <f t="shared" si="1"/>
        <v>1741897.6993738853</v>
      </c>
      <c r="L21" s="507">
        <f t="shared" si="2"/>
        <v>0</v>
      </c>
      <c r="M21" s="506">
        <f t="shared" si="3"/>
        <v>1741897.6993738853</v>
      </c>
      <c r="N21" s="504">
        <f>IF(M21&lt;&gt;0,+H21-M21,0)</f>
        <v>0</v>
      </c>
      <c r="O21" s="504">
        <f>+N21-L21</f>
        <v>0</v>
      </c>
      <c r="P21" s="278"/>
      <c r="R21" s="243"/>
      <c r="S21" s="243"/>
      <c r="T21" s="243"/>
      <c r="U21" s="243"/>
    </row>
    <row r="22" spans="2:21">
      <c r="B22" s="145" t="str">
        <f t="shared" si="0"/>
        <v/>
      </c>
      <c r="C22" s="495">
        <f>IF(D11="","-",+C21+1)</f>
        <v>2019</v>
      </c>
      <c r="D22" s="614">
        <v>11896581.029085591</v>
      </c>
      <c r="E22" s="613">
        <v>325060.34019690572</v>
      </c>
      <c r="F22" s="614">
        <v>11571520.688888686</v>
      </c>
      <c r="G22" s="613">
        <v>1703706.0261758706</v>
      </c>
      <c r="H22" s="617">
        <v>1703706.0261758706</v>
      </c>
      <c r="I22" s="500">
        <v>0</v>
      </c>
      <c r="J22" s="500"/>
      <c r="K22" s="506">
        <f t="shared" si="1"/>
        <v>1703706.0261758706</v>
      </c>
      <c r="L22" s="507">
        <f t="shared" si="2"/>
        <v>0</v>
      </c>
      <c r="M22" s="506">
        <f t="shared" si="3"/>
        <v>1703706.0261758706</v>
      </c>
      <c r="N22" s="504">
        <f>IF(M22&lt;&gt;0,+H22-M22,0)</f>
        <v>0</v>
      </c>
      <c r="O22" s="504">
        <f>+N22-L22</f>
        <v>0</v>
      </c>
      <c r="P22" s="278"/>
      <c r="R22" s="243"/>
      <c r="S22" s="243"/>
      <c r="T22" s="243"/>
      <c r="U22" s="243"/>
    </row>
    <row r="23" spans="2:21">
      <c r="B23" s="145" t="str">
        <f t="shared" si="0"/>
        <v/>
      </c>
      <c r="C23" s="495">
        <f>IF(D11="","-",+C22+1)</f>
        <v>2020</v>
      </c>
      <c r="D23" s="614">
        <v>11571520.688888686</v>
      </c>
      <c r="E23" s="613">
        <v>388114.48634834524</v>
      </c>
      <c r="F23" s="614">
        <v>11183406.20254034</v>
      </c>
      <c r="G23" s="613">
        <v>1581979.7861437595</v>
      </c>
      <c r="H23" s="617">
        <v>1581979.7861437595</v>
      </c>
      <c r="I23" s="500">
        <f t="shared" si="6"/>
        <v>0</v>
      </c>
      <c r="J23" s="500"/>
      <c r="K23" s="506">
        <f t="shared" ref="K23" si="7">G23</f>
        <v>1581979.7861437595</v>
      </c>
      <c r="L23" s="507">
        <f t="shared" ref="L23" si="8">IF(K23&lt;&gt;0,+G23-K23,0)</f>
        <v>0</v>
      </c>
      <c r="M23" s="506">
        <f t="shared" ref="M23" si="9">H23</f>
        <v>1581979.7861437595</v>
      </c>
      <c r="N23" s="504">
        <f>IF(M23&lt;&gt;0,+H23-M23,0)</f>
        <v>0</v>
      </c>
      <c r="O23" s="504">
        <f>+N23-L23</f>
        <v>0</v>
      </c>
      <c r="P23" s="278"/>
      <c r="R23" s="243"/>
      <c r="S23" s="243"/>
      <c r="T23" s="243"/>
      <c r="U23" s="243"/>
    </row>
    <row r="24" spans="2:21">
      <c r="B24" s="145" t="str">
        <f t="shared" si="0"/>
        <v>IU</v>
      </c>
      <c r="C24" s="495">
        <f>IF(D11="","-",+C23+1)</f>
        <v>2021</v>
      </c>
      <c r="D24" s="614">
        <v>11571520.688888686</v>
      </c>
      <c r="E24" s="613">
        <v>388114.48634834524</v>
      </c>
      <c r="F24" s="614">
        <v>11183406.20254034</v>
      </c>
      <c r="G24" s="613">
        <v>1581979.7861437595</v>
      </c>
      <c r="H24" s="617">
        <v>1581979.7861437595</v>
      </c>
      <c r="I24" s="500">
        <f t="shared" si="6"/>
        <v>0</v>
      </c>
      <c r="J24" s="500"/>
      <c r="K24" s="506">
        <f t="shared" ref="K24" si="10">G24</f>
        <v>1581979.7861437595</v>
      </c>
      <c r="L24" s="507">
        <f t="shared" ref="L24" si="11">IF(K24&lt;&gt;0,+G24-K24,0)</f>
        <v>0</v>
      </c>
      <c r="M24" s="506">
        <f t="shared" ref="M24" si="12">H24</f>
        <v>1581979.7861437595</v>
      </c>
      <c r="N24" s="504">
        <f t="shared" si="4"/>
        <v>0</v>
      </c>
      <c r="O24" s="504">
        <f t="shared" si="5"/>
        <v>0</v>
      </c>
      <c r="P24" s="278"/>
      <c r="R24" s="243"/>
      <c r="S24" s="243"/>
      <c r="T24" s="243"/>
      <c r="U24" s="243"/>
    </row>
    <row r="25" spans="2:21">
      <c r="B25" s="145" t="str">
        <f t="shared" si="0"/>
        <v>IU</v>
      </c>
      <c r="C25" s="495">
        <f>IF(D11="","-",+C24+1)</f>
        <v>2022</v>
      </c>
      <c r="D25" s="614">
        <v>11075905.172169829</v>
      </c>
      <c r="E25" s="613">
        <v>427563.55451612902</v>
      </c>
      <c r="F25" s="614">
        <v>10648341.6176537</v>
      </c>
      <c r="G25" s="613">
        <v>1602683.1037737736</v>
      </c>
      <c r="H25" s="617">
        <v>1602683.1037737736</v>
      </c>
      <c r="I25" s="500">
        <f t="shared" si="6"/>
        <v>0</v>
      </c>
      <c r="J25" s="500"/>
      <c r="K25" s="506">
        <f t="shared" ref="K25" si="13">G25</f>
        <v>1602683.1037737736</v>
      </c>
      <c r="L25" s="507">
        <f t="shared" ref="L25" si="14">IF(K25&lt;&gt;0,+G25-K25,0)</f>
        <v>0</v>
      </c>
      <c r="M25" s="506">
        <f t="shared" ref="M25" si="15">H25</f>
        <v>1602683.1037737736</v>
      </c>
      <c r="N25" s="504">
        <f t="shared" si="4"/>
        <v>0</v>
      </c>
      <c r="O25" s="504">
        <f t="shared" si="5"/>
        <v>0</v>
      </c>
      <c r="P25" s="278"/>
      <c r="R25" s="243"/>
      <c r="S25" s="243"/>
      <c r="T25" s="243"/>
      <c r="U25" s="243"/>
    </row>
    <row r="26" spans="2:21">
      <c r="B26" s="145" t="str">
        <f t="shared" si="0"/>
        <v>IU</v>
      </c>
      <c r="C26" s="495">
        <f>IF(D11="","-",+C25+1)</f>
        <v>2023</v>
      </c>
      <c r="D26" s="508">
        <f>IF(F25+SUM(E$17:E25)=D$10,F25,D$10-SUM(E$17:E25))</f>
        <v>10628337.286595354</v>
      </c>
      <c r="E26" s="509">
        <f t="shared" ref="E26:E73" si="16">IF(+$I$14&lt;F25,$I$14,D26)</f>
        <v>401650.61181818182</v>
      </c>
      <c r="F26" s="510">
        <f t="shared" ref="F26:F73" si="17">+D26-E26</f>
        <v>10226686.674777173</v>
      </c>
      <c r="G26" s="511">
        <f t="shared" ref="G26:G73" si="18">(D26+F26)/2*I$12+E26</f>
        <v>1598299.1015250199</v>
      </c>
      <c r="H26" s="477">
        <f t="shared" ref="H26:H73" si="19">+(D26+F26)/2*I$13+E26</f>
        <v>1598299.1015250199</v>
      </c>
      <c r="I26" s="500">
        <f t="shared" si="6"/>
        <v>0</v>
      </c>
      <c r="J26" s="500"/>
      <c r="K26" s="512"/>
      <c r="L26" s="504">
        <f t="shared" ref="L26:L73" si="20">IF(K26&lt;&gt;0,+G26-K26,0)</f>
        <v>0</v>
      </c>
      <c r="M26" s="512"/>
      <c r="N26" s="504">
        <f t="shared" si="4"/>
        <v>0</v>
      </c>
      <c r="O26" s="504">
        <f t="shared" si="5"/>
        <v>0</v>
      </c>
      <c r="P26" s="278"/>
      <c r="R26" s="243"/>
      <c r="S26" s="243"/>
      <c r="T26" s="243"/>
      <c r="U26" s="243"/>
    </row>
    <row r="27" spans="2:21">
      <c r="B27" s="145" t="str">
        <f t="shared" si="0"/>
        <v/>
      </c>
      <c r="C27" s="495">
        <f>IF(D11="","-",+C26+1)</f>
        <v>2024</v>
      </c>
      <c r="D27" s="508">
        <f>IF(F26+SUM(E$17:E26)=D$10,F26,D$10-SUM(E$17:E26))</f>
        <v>10226686.674777173</v>
      </c>
      <c r="E27" s="509">
        <f t="shared" si="16"/>
        <v>401650.61181818182</v>
      </c>
      <c r="F27" s="510">
        <f t="shared" si="17"/>
        <v>9825036.0629589912</v>
      </c>
      <c r="G27" s="511">
        <f t="shared" si="18"/>
        <v>1552206.1697775158</v>
      </c>
      <c r="H27" s="477">
        <f t="shared" si="19"/>
        <v>1552206.1697775158</v>
      </c>
      <c r="I27" s="500">
        <f t="shared" si="6"/>
        <v>0</v>
      </c>
      <c r="J27" s="500"/>
      <c r="K27" s="512"/>
      <c r="L27" s="504">
        <f t="shared" si="20"/>
        <v>0</v>
      </c>
      <c r="M27" s="512"/>
      <c r="N27" s="504">
        <f t="shared" si="4"/>
        <v>0</v>
      </c>
      <c r="O27" s="504">
        <f t="shared" si="5"/>
        <v>0</v>
      </c>
      <c r="P27" s="278"/>
      <c r="R27" s="243"/>
      <c r="S27" s="243"/>
      <c r="T27" s="243"/>
      <c r="U27" s="243"/>
    </row>
    <row r="28" spans="2:21">
      <c r="B28" s="145" t="str">
        <f t="shared" si="0"/>
        <v/>
      </c>
      <c r="C28" s="495">
        <f>IF(D11="","-",+C27+1)</f>
        <v>2025</v>
      </c>
      <c r="D28" s="508">
        <f>IF(F27+SUM(E$17:E27)=D$10,F27,D$10-SUM(E$17:E27))</f>
        <v>9825036.0629589912</v>
      </c>
      <c r="E28" s="509">
        <f t="shared" si="16"/>
        <v>401650.61181818182</v>
      </c>
      <c r="F28" s="510">
        <f t="shared" si="17"/>
        <v>9423385.4511408098</v>
      </c>
      <c r="G28" s="511">
        <f t="shared" si="18"/>
        <v>1506113.2380300113</v>
      </c>
      <c r="H28" s="477">
        <f t="shared" si="19"/>
        <v>1506113.2380300113</v>
      </c>
      <c r="I28" s="500">
        <f t="shared" si="6"/>
        <v>0</v>
      </c>
      <c r="J28" s="500"/>
      <c r="K28" s="512"/>
      <c r="L28" s="504">
        <f t="shared" si="20"/>
        <v>0</v>
      </c>
      <c r="M28" s="512"/>
      <c r="N28" s="504">
        <f t="shared" si="4"/>
        <v>0</v>
      </c>
      <c r="O28" s="504">
        <f t="shared" si="5"/>
        <v>0</v>
      </c>
      <c r="P28" s="278"/>
      <c r="R28" s="243"/>
      <c r="S28" s="243"/>
      <c r="T28" s="243"/>
      <c r="U28" s="243"/>
    </row>
    <row r="29" spans="2:21">
      <c r="B29" s="145" t="str">
        <f t="shared" si="0"/>
        <v/>
      </c>
      <c r="C29" s="495">
        <f>IF(D11="","-",+C28+1)</f>
        <v>2026</v>
      </c>
      <c r="D29" s="508">
        <f>IF(F28+SUM(E$17:E28)=D$10,F28,D$10-SUM(E$17:E28))</f>
        <v>9423385.4511408098</v>
      </c>
      <c r="E29" s="509">
        <f t="shared" si="16"/>
        <v>401650.61181818182</v>
      </c>
      <c r="F29" s="510">
        <f t="shared" si="17"/>
        <v>9021734.8393226285</v>
      </c>
      <c r="G29" s="511">
        <f t="shared" si="18"/>
        <v>1460020.3062825075</v>
      </c>
      <c r="H29" s="477">
        <f t="shared" si="19"/>
        <v>1460020.3062825075</v>
      </c>
      <c r="I29" s="500">
        <f t="shared" si="6"/>
        <v>0</v>
      </c>
      <c r="J29" s="500"/>
      <c r="K29" s="512"/>
      <c r="L29" s="504">
        <f t="shared" si="20"/>
        <v>0</v>
      </c>
      <c r="M29" s="512"/>
      <c r="N29" s="504">
        <f t="shared" si="4"/>
        <v>0</v>
      </c>
      <c r="O29" s="504">
        <f t="shared" si="5"/>
        <v>0</v>
      </c>
      <c r="P29" s="278"/>
      <c r="R29" s="243"/>
      <c r="S29" s="243"/>
      <c r="T29" s="243"/>
      <c r="U29" s="243"/>
    </row>
    <row r="30" spans="2:21">
      <c r="B30" s="145" t="str">
        <f t="shared" si="0"/>
        <v/>
      </c>
      <c r="C30" s="495">
        <f>IF(D11="","-",+C29+1)</f>
        <v>2027</v>
      </c>
      <c r="D30" s="508">
        <f>IF(F29+SUM(E$17:E29)=D$10,F29,D$10-SUM(E$17:E29))</f>
        <v>9021734.8393226285</v>
      </c>
      <c r="E30" s="509">
        <f t="shared" si="16"/>
        <v>401650.61181818182</v>
      </c>
      <c r="F30" s="510">
        <f t="shared" si="17"/>
        <v>8620084.2275044471</v>
      </c>
      <c r="G30" s="511">
        <f t="shared" si="18"/>
        <v>1413927.374535003</v>
      </c>
      <c r="H30" s="477">
        <f t="shared" si="19"/>
        <v>1413927.374535003</v>
      </c>
      <c r="I30" s="500">
        <f t="shared" si="6"/>
        <v>0</v>
      </c>
      <c r="J30" s="500"/>
      <c r="K30" s="512"/>
      <c r="L30" s="504">
        <f t="shared" si="20"/>
        <v>0</v>
      </c>
      <c r="M30" s="512"/>
      <c r="N30" s="504">
        <f t="shared" si="4"/>
        <v>0</v>
      </c>
      <c r="O30" s="504">
        <f t="shared" si="5"/>
        <v>0</v>
      </c>
      <c r="P30" s="278"/>
      <c r="R30" s="243"/>
      <c r="S30" s="243"/>
      <c r="T30" s="243"/>
      <c r="U30" s="243"/>
    </row>
    <row r="31" spans="2:21">
      <c r="B31" s="145" t="str">
        <f t="shared" si="0"/>
        <v/>
      </c>
      <c r="C31" s="495">
        <f>IF(D11="","-",+C30+1)</f>
        <v>2028</v>
      </c>
      <c r="D31" s="508">
        <f>IF(F30+SUM(E$17:E30)=D$10,F30,D$10-SUM(E$17:E30))</f>
        <v>8620084.2275044471</v>
      </c>
      <c r="E31" s="509">
        <f t="shared" si="16"/>
        <v>401650.61181818182</v>
      </c>
      <c r="F31" s="510">
        <f t="shared" si="17"/>
        <v>8218433.6156862658</v>
      </c>
      <c r="G31" s="511">
        <f t="shared" si="18"/>
        <v>1367834.4427874992</v>
      </c>
      <c r="H31" s="477">
        <f t="shared" si="19"/>
        <v>1367834.4427874992</v>
      </c>
      <c r="I31" s="500">
        <f t="shared" si="6"/>
        <v>0</v>
      </c>
      <c r="J31" s="500"/>
      <c r="K31" s="512"/>
      <c r="L31" s="504">
        <f t="shared" si="20"/>
        <v>0</v>
      </c>
      <c r="M31" s="512"/>
      <c r="N31" s="504">
        <f t="shared" si="4"/>
        <v>0</v>
      </c>
      <c r="O31" s="504">
        <f t="shared" si="5"/>
        <v>0</v>
      </c>
      <c r="P31" s="278"/>
      <c r="Q31" s="220"/>
      <c r="R31" s="278"/>
      <c r="S31" s="278"/>
      <c r="T31" s="278"/>
      <c r="U31" s="243"/>
    </row>
    <row r="32" spans="2:21">
      <c r="B32" s="145" t="str">
        <f t="shared" si="0"/>
        <v/>
      </c>
      <c r="C32" s="495">
        <f>IF(D12="","-",+C31+1)</f>
        <v>2029</v>
      </c>
      <c r="D32" s="508">
        <f>IF(F31+SUM(E$17:E31)=D$10,F31,D$10-SUM(E$17:E31))</f>
        <v>8218433.6156862658</v>
      </c>
      <c r="E32" s="509">
        <f>IF(+$I$14&lt;F31,$I$14,D32)</f>
        <v>401650.61181818182</v>
      </c>
      <c r="F32" s="510">
        <f>+D32-E32</f>
        <v>7816783.0038680844</v>
      </c>
      <c r="G32" s="511">
        <f t="shared" si="18"/>
        <v>1321741.5110399947</v>
      </c>
      <c r="H32" s="477">
        <f t="shared" si="19"/>
        <v>1321741.5110399947</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2030</v>
      </c>
      <c r="D33" s="508">
        <f>IF(F32+SUM(E$17:E32)=D$10,F32,D$10-SUM(E$17:E32))</f>
        <v>7816783.0038680844</v>
      </c>
      <c r="E33" s="509">
        <f>IF(+$I$14&lt;F32,$I$14,D33)</f>
        <v>401650.61181818182</v>
      </c>
      <c r="F33" s="510">
        <f>+D33-E33</f>
        <v>7415132.3920499031</v>
      </c>
      <c r="G33" s="511">
        <f t="shared" si="18"/>
        <v>1275648.5792924906</v>
      </c>
      <c r="H33" s="477">
        <f t="shared" si="19"/>
        <v>1275648.5792924906</v>
      </c>
      <c r="I33" s="500">
        <f>H33-G33</f>
        <v>0</v>
      </c>
      <c r="J33" s="500"/>
      <c r="K33" s="512"/>
      <c r="L33" s="504">
        <f>IF(K33&lt;&gt;0,+G33-K33,0)</f>
        <v>0</v>
      </c>
      <c r="M33" s="512"/>
      <c r="N33" s="504">
        <f>IF(M33&lt;&gt;0,+H33-M33,0)</f>
        <v>0</v>
      </c>
      <c r="O33" s="504">
        <f>+N33-L33</f>
        <v>0</v>
      </c>
      <c r="P33" s="278"/>
      <c r="R33" s="243"/>
      <c r="S33" s="243"/>
      <c r="T33" s="243"/>
      <c r="U33" s="243"/>
    </row>
    <row r="34" spans="2:21">
      <c r="B34" s="145" t="str">
        <f t="shared" si="0"/>
        <v/>
      </c>
      <c r="C34" s="513">
        <f>IF(D11="","-",+C33+1)</f>
        <v>2031</v>
      </c>
      <c r="D34" s="514">
        <f>IF(F33+SUM(E$17:E33)=D$10,F33,D$10-SUM(E$17:E33))</f>
        <v>7415132.3920499031</v>
      </c>
      <c r="E34" s="515">
        <f t="shared" si="16"/>
        <v>401650.61181818182</v>
      </c>
      <c r="F34" s="516">
        <f t="shared" si="17"/>
        <v>7013481.7802317217</v>
      </c>
      <c r="G34" s="511">
        <f t="shared" si="18"/>
        <v>1229555.6475449863</v>
      </c>
      <c r="H34" s="477">
        <f t="shared" si="19"/>
        <v>1229555.6475449863</v>
      </c>
      <c r="I34" s="519">
        <f t="shared" si="6"/>
        <v>0</v>
      </c>
      <c r="J34" s="519"/>
      <c r="K34" s="520"/>
      <c r="L34" s="521">
        <f t="shared" si="20"/>
        <v>0</v>
      </c>
      <c r="M34" s="520"/>
      <c r="N34" s="521">
        <f t="shared" si="4"/>
        <v>0</v>
      </c>
      <c r="O34" s="521">
        <f t="shared" si="5"/>
        <v>0</v>
      </c>
      <c r="P34" s="522"/>
      <c r="Q34" s="216"/>
      <c r="R34" s="522"/>
      <c r="S34" s="522"/>
      <c r="T34" s="522"/>
      <c r="U34" s="243"/>
    </row>
    <row r="35" spans="2:21">
      <c r="B35" s="145" t="str">
        <f t="shared" si="0"/>
        <v/>
      </c>
      <c r="C35" s="495">
        <f>IF(D11="","-",+C34+1)</f>
        <v>2032</v>
      </c>
      <c r="D35" s="508">
        <f>IF(F34+SUM(E$17:E34)=D$10,F34,D$10-SUM(E$17:E34))</f>
        <v>7013481.7802317217</v>
      </c>
      <c r="E35" s="509">
        <f t="shared" si="16"/>
        <v>401650.61181818182</v>
      </c>
      <c r="F35" s="510">
        <f t="shared" si="17"/>
        <v>6611831.1684135403</v>
      </c>
      <c r="G35" s="511">
        <f t="shared" si="18"/>
        <v>1183462.7157974821</v>
      </c>
      <c r="H35" s="477">
        <f t="shared" si="19"/>
        <v>1183462.7157974821</v>
      </c>
      <c r="I35" s="500">
        <f t="shared" si="6"/>
        <v>0</v>
      </c>
      <c r="J35" s="500"/>
      <c r="K35" s="512"/>
      <c r="L35" s="504">
        <f t="shared" si="20"/>
        <v>0</v>
      </c>
      <c r="M35" s="512"/>
      <c r="N35" s="504">
        <f t="shared" si="4"/>
        <v>0</v>
      </c>
      <c r="O35" s="504">
        <f t="shared" si="5"/>
        <v>0</v>
      </c>
      <c r="P35" s="278"/>
      <c r="R35" s="243"/>
      <c r="S35" s="243"/>
      <c r="T35" s="243"/>
      <c r="U35" s="243"/>
    </row>
    <row r="36" spans="2:21">
      <c r="B36" s="145" t="str">
        <f t="shared" si="0"/>
        <v/>
      </c>
      <c r="C36" s="495">
        <f>IF(D11="","-",+C35+1)</f>
        <v>2033</v>
      </c>
      <c r="D36" s="508">
        <f>IF(F35+SUM(E$17:E35)=D$10,F35,D$10-SUM(E$17:E35))</f>
        <v>6611831.1684135403</v>
      </c>
      <c r="E36" s="509">
        <f t="shared" si="16"/>
        <v>401650.61181818182</v>
      </c>
      <c r="F36" s="510">
        <f t="shared" si="17"/>
        <v>6210180.556595359</v>
      </c>
      <c r="G36" s="511">
        <f t="shared" si="18"/>
        <v>1137369.784049978</v>
      </c>
      <c r="H36" s="477">
        <f t="shared" si="19"/>
        <v>1137369.784049978</v>
      </c>
      <c r="I36" s="500">
        <f t="shared" si="6"/>
        <v>0</v>
      </c>
      <c r="J36" s="500"/>
      <c r="K36" s="512"/>
      <c r="L36" s="504">
        <f t="shared" si="20"/>
        <v>0</v>
      </c>
      <c r="M36" s="512"/>
      <c r="N36" s="504">
        <f t="shared" si="4"/>
        <v>0</v>
      </c>
      <c r="O36" s="504">
        <f t="shared" si="5"/>
        <v>0</v>
      </c>
      <c r="P36" s="278"/>
      <c r="R36" s="243"/>
      <c r="S36" s="243"/>
      <c r="T36" s="243"/>
      <c r="U36" s="243"/>
    </row>
    <row r="37" spans="2:21">
      <c r="B37" s="145" t="str">
        <f t="shared" si="0"/>
        <v/>
      </c>
      <c r="C37" s="495">
        <f>IF(D11="","-",+C36+1)</f>
        <v>2034</v>
      </c>
      <c r="D37" s="508">
        <f>IF(F36+SUM(E$17:E36)=D$10,F36,D$10-SUM(E$17:E36))</f>
        <v>6210180.556595359</v>
      </c>
      <c r="E37" s="509">
        <f t="shared" si="16"/>
        <v>401650.61181818182</v>
      </c>
      <c r="F37" s="510">
        <f t="shared" si="17"/>
        <v>5808529.9447771776</v>
      </c>
      <c r="G37" s="511">
        <f t="shared" si="18"/>
        <v>1091276.8523024737</v>
      </c>
      <c r="H37" s="477">
        <f t="shared" si="19"/>
        <v>1091276.8523024737</v>
      </c>
      <c r="I37" s="500">
        <f t="shared" si="6"/>
        <v>0</v>
      </c>
      <c r="J37" s="500"/>
      <c r="K37" s="512"/>
      <c r="L37" s="504">
        <f t="shared" si="20"/>
        <v>0</v>
      </c>
      <c r="M37" s="512"/>
      <c r="N37" s="504">
        <f t="shared" si="4"/>
        <v>0</v>
      </c>
      <c r="O37" s="504">
        <f t="shared" si="5"/>
        <v>0</v>
      </c>
      <c r="P37" s="278"/>
      <c r="R37" s="243"/>
      <c r="S37" s="243"/>
      <c r="T37" s="243"/>
      <c r="U37" s="243"/>
    </row>
    <row r="38" spans="2:21">
      <c r="B38" s="145" t="str">
        <f t="shared" si="0"/>
        <v/>
      </c>
      <c r="C38" s="495">
        <f>IF(D11="","-",+C37+1)</f>
        <v>2035</v>
      </c>
      <c r="D38" s="508">
        <f>IF(F37+SUM(E$17:E37)=D$10,F37,D$10-SUM(E$17:E37))</f>
        <v>5808529.9447771776</v>
      </c>
      <c r="E38" s="509">
        <f t="shared" si="16"/>
        <v>401650.61181818182</v>
      </c>
      <c r="F38" s="510">
        <f t="shared" si="17"/>
        <v>5406879.3329589963</v>
      </c>
      <c r="G38" s="511">
        <f t="shared" si="18"/>
        <v>1045183.9205549696</v>
      </c>
      <c r="H38" s="477">
        <f t="shared" si="19"/>
        <v>1045183.9205549696</v>
      </c>
      <c r="I38" s="500">
        <f t="shared" si="6"/>
        <v>0</v>
      </c>
      <c r="J38" s="500"/>
      <c r="K38" s="512"/>
      <c r="L38" s="504">
        <f t="shared" si="20"/>
        <v>0</v>
      </c>
      <c r="M38" s="512"/>
      <c r="N38" s="504">
        <f t="shared" si="4"/>
        <v>0</v>
      </c>
      <c r="O38" s="504">
        <f t="shared" si="5"/>
        <v>0</v>
      </c>
      <c r="P38" s="278"/>
      <c r="R38" s="243"/>
      <c r="S38" s="243"/>
      <c r="T38" s="243"/>
      <c r="U38" s="243"/>
    </row>
    <row r="39" spans="2:21">
      <c r="B39" s="145" t="str">
        <f t="shared" si="0"/>
        <v/>
      </c>
      <c r="C39" s="495">
        <f>IF(D11="","-",+C38+1)</f>
        <v>2036</v>
      </c>
      <c r="D39" s="508">
        <f>IF(F38+SUM(E$17:E38)=D$10,F38,D$10-SUM(E$17:E38))</f>
        <v>5406879.3329589963</v>
      </c>
      <c r="E39" s="509">
        <f t="shared" si="16"/>
        <v>401650.61181818182</v>
      </c>
      <c r="F39" s="510">
        <f t="shared" si="17"/>
        <v>5005228.7211408149</v>
      </c>
      <c r="G39" s="511">
        <f t="shared" si="18"/>
        <v>999090.9888074653</v>
      </c>
      <c r="H39" s="477">
        <f t="shared" si="19"/>
        <v>999090.9888074653</v>
      </c>
      <c r="I39" s="500">
        <f t="shared" si="6"/>
        <v>0</v>
      </c>
      <c r="J39" s="500"/>
      <c r="K39" s="512"/>
      <c r="L39" s="504">
        <f t="shared" si="20"/>
        <v>0</v>
      </c>
      <c r="M39" s="512"/>
      <c r="N39" s="504">
        <f t="shared" si="4"/>
        <v>0</v>
      </c>
      <c r="O39" s="504">
        <f t="shared" si="5"/>
        <v>0</v>
      </c>
      <c r="P39" s="278"/>
      <c r="R39" s="243"/>
      <c r="S39" s="243"/>
      <c r="T39" s="243"/>
      <c r="U39" s="243"/>
    </row>
    <row r="40" spans="2:21">
      <c r="B40" s="145" t="str">
        <f t="shared" si="0"/>
        <v/>
      </c>
      <c r="C40" s="495">
        <f>IF(D11="","-",+C39+1)</f>
        <v>2037</v>
      </c>
      <c r="D40" s="508">
        <f>IF(F39+SUM(E$17:E39)=D$10,F39,D$10-SUM(E$17:E39))</f>
        <v>5005228.7211408149</v>
      </c>
      <c r="E40" s="509">
        <f t="shared" si="16"/>
        <v>401650.61181818182</v>
      </c>
      <c r="F40" s="510">
        <f t="shared" si="17"/>
        <v>4603578.1093226336</v>
      </c>
      <c r="G40" s="511">
        <f t="shared" si="18"/>
        <v>952998.05705996114</v>
      </c>
      <c r="H40" s="477">
        <f t="shared" si="19"/>
        <v>952998.05705996114</v>
      </c>
      <c r="I40" s="500">
        <f t="shared" si="6"/>
        <v>0</v>
      </c>
      <c r="J40" s="500"/>
      <c r="K40" s="512"/>
      <c r="L40" s="504">
        <f t="shared" si="20"/>
        <v>0</v>
      </c>
      <c r="M40" s="512"/>
      <c r="N40" s="504">
        <f t="shared" si="4"/>
        <v>0</v>
      </c>
      <c r="O40" s="504">
        <f t="shared" si="5"/>
        <v>0</v>
      </c>
      <c r="P40" s="278"/>
      <c r="R40" s="243"/>
      <c r="S40" s="243"/>
      <c r="T40" s="243"/>
      <c r="U40" s="243"/>
    </row>
    <row r="41" spans="2:21">
      <c r="B41" s="145" t="str">
        <f t="shared" si="0"/>
        <v/>
      </c>
      <c r="C41" s="495">
        <f>IF(D12="","-",+C40+1)</f>
        <v>2038</v>
      </c>
      <c r="D41" s="508">
        <f>IF(F40+SUM(E$17:E40)=D$10,F40,D$10-SUM(E$17:E40))</f>
        <v>4603578.1093226336</v>
      </c>
      <c r="E41" s="509">
        <f t="shared" si="16"/>
        <v>401650.61181818182</v>
      </c>
      <c r="F41" s="510">
        <f t="shared" si="17"/>
        <v>4201927.4975044522</v>
      </c>
      <c r="G41" s="511">
        <f t="shared" si="18"/>
        <v>906905.12531245698</v>
      </c>
      <c r="H41" s="477">
        <f t="shared" si="19"/>
        <v>906905.12531245698</v>
      </c>
      <c r="I41" s="500">
        <f t="shared" si="6"/>
        <v>0</v>
      </c>
      <c r="J41" s="500"/>
      <c r="K41" s="512"/>
      <c r="L41" s="504">
        <f t="shared" si="20"/>
        <v>0</v>
      </c>
      <c r="M41" s="512"/>
      <c r="N41" s="504">
        <f t="shared" si="4"/>
        <v>0</v>
      </c>
      <c r="O41" s="504">
        <f t="shared" si="5"/>
        <v>0</v>
      </c>
      <c r="P41" s="278"/>
      <c r="R41" s="243"/>
      <c r="S41" s="243"/>
      <c r="T41" s="243"/>
      <c r="U41" s="243"/>
    </row>
    <row r="42" spans="2:21">
      <c r="B42" s="145" t="str">
        <f t="shared" si="0"/>
        <v/>
      </c>
      <c r="C42" s="495">
        <f>IF(D13="","-",+C41+1)</f>
        <v>2039</v>
      </c>
      <c r="D42" s="508">
        <f>IF(F41+SUM(E$17:E41)=D$10,F41,D$10-SUM(E$17:E41))</f>
        <v>4201927.4975044522</v>
      </c>
      <c r="E42" s="509">
        <f t="shared" si="16"/>
        <v>401650.61181818182</v>
      </c>
      <c r="F42" s="510">
        <f t="shared" si="17"/>
        <v>3800276.8856862704</v>
      </c>
      <c r="G42" s="511">
        <f t="shared" si="18"/>
        <v>860812.19356495282</v>
      </c>
      <c r="H42" s="477">
        <f t="shared" si="19"/>
        <v>860812.19356495282</v>
      </c>
      <c r="I42" s="500">
        <f t="shared" si="6"/>
        <v>0</v>
      </c>
      <c r="J42" s="500"/>
      <c r="K42" s="512"/>
      <c r="L42" s="504">
        <f t="shared" si="20"/>
        <v>0</v>
      </c>
      <c r="M42" s="512"/>
      <c r="N42" s="504">
        <f t="shared" si="4"/>
        <v>0</v>
      </c>
      <c r="O42" s="504">
        <f t="shared" si="5"/>
        <v>0</v>
      </c>
      <c r="P42" s="278"/>
      <c r="R42" s="243"/>
      <c r="S42" s="243"/>
      <c r="T42" s="243"/>
      <c r="U42" s="243"/>
    </row>
    <row r="43" spans="2:21">
      <c r="B43" s="145" t="str">
        <f t="shared" si="0"/>
        <v/>
      </c>
      <c r="C43" s="495">
        <f>IF(D11="","-",+C42+1)</f>
        <v>2040</v>
      </c>
      <c r="D43" s="508">
        <f>IF(F42+SUM(E$17:E42)=D$10,F42,D$10-SUM(E$17:E42))</f>
        <v>3800276.8856862704</v>
      </c>
      <c r="E43" s="509">
        <f t="shared" si="16"/>
        <v>401650.61181818182</v>
      </c>
      <c r="F43" s="510">
        <f t="shared" si="17"/>
        <v>3398626.2738680886</v>
      </c>
      <c r="G43" s="511">
        <f t="shared" si="18"/>
        <v>814719.26181744854</v>
      </c>
      <c r="H43" s="477">
        <f t="shared" si="19"/>
        <v>814719.26181744854</v>
      </c>
      <c r="I43" s="500">
        <f t="shared" si="6"/>
        <v>0</v>
      </c>
      <c r="J43" s="500"/>
      <c r="K43" s="512"/>
      <c r="L43" s="504">
        <f t="shared" si="20"/>
        <v>0</v>
      </c>
      <c r="M43" s="512"/>
      <c r="N43" s="504">
        <f t="shared" si="4"/>
        <v>0</v>
      </c>
      <c r="O43" s="504">
        <f t="shared" si="5"/>
        <v>0</v>
      </c>
      <c r="P43" s="278"/>
      <c r="R43" s="243"/>
      <c r="S43" s="243"/>
      <c r="T43" s="243"/>
      <c r="U43" s="243"/>
    </row>
    <row r="44" spans="2:21">
      <c r="B44" s="145" t="str">
        <f t="shared" si="0"/>
        <v/>
      </c>
      <c r="C44" s="495">
        <f>IF(D11="","-",+C43+1)</f>
        <v>2041</v>
      </c>
      <c r="D44" s="508">
        <f>IF(F43+SUM(E$17:E43)=D$10,F43,D$10-SUM(E$17:E43))</f>
        <v>3398626.2738680886</v>
      </c>
      <c r="E44" s="509">
        <f t="shared" si="16"/>
        <v>401650.61181818182</v>
      </c>
      <c r="F44" s="510">
        <f t="shared" si="17"/>
        <v>2996975.6620499068</v>
      </c>
      <c r="G44" s="511">
        <f t="shared" si="18"/>
        <v>768626.33006994426</v>
      </c>
      <c r="H44" s="477">
        <f t="shared" si="19"/>
        <v>768626.33006994426</v>
      </c>
      <c r="I44" s="500">
        <f t="shared" si="6"/>
        <v>0</v>
      </c>
      <c r="J44" s="500"/>
      <c r="K44" s="512"/>
      <c r="L44" s="504">
        <f t="shared" si="20"/>
        <v>0</v>
      </c>
      <c r="M44" s="512"/>
      <c r="N44" s="504">
        <f t="shared" si="4"/>
        <v>0</v>
      </c>
      <c r="O44" s="504">
        <f t="shared" si="5"/>
        <v>0</v>
      </c>
      <c r="P44" s="278"/>
      <c r="R44" s="243"/>
      <c r="S44" s="243"/>
      <c r="T44" s="243"/>
      <c r="U44" s="243"/>
    </row>
    <row r="45" spans="2:21">
      <c r="B45" s="145" t="str">
        <f t="shared" si="0"/>
        <v/>
      </c>
      <c r="C45" s="495">
        <f>IF(D11="","-",+C44+1)</f>
        <v>2042</v>
      </c>
      <c r="D45" s="508">
        <f>IF(F44+SUM(E$17:E44)=D$10,F44,D$10-SUM(E$17:E44))</f>
        <v>2996975.6620499068</v>
      </c>
      <c r="E45" s="509">
        <f t="shared" si="16"/>
        <v>401650.61181818182</v>
      </c>
      <c r="F45" s="510">
        <f t="shared" si="17"/>
        <v>2595325.050231725</v>
      </c>
      <c r="G45" s="511">
        <f t="shared" si="18"/>
        <v>722533.39832243999</v>
      </c>
      <c r="H45" s="477">
        <f t="shared" si="19"/>
        <v>722533.39832243999</v>
      </c>
      <c r="I45" s="500">
        <f t="shared" si="6"/>
        <v>0</v>
      </c>
      <c r="J45" s="500"/>
      <c r="K45" s="512"/>
      <c r="L45" s="504">
        <f t="shared" si="20"/>
        <v>0</v>
      </c>
      <c r="M45" s="512"/>
      <c r="N45" s="504">
        <f t="shared" si="4"/>
        <v>0</v>
      </c>
      <c r="O45" s="504">
        <f t="shared" si="5"/>
        <v>0</v>
      </c>
      <c r="P45" s="278"/>
      <c r="R45" s="243"/>
      <c r="S45" s="243"/>
      <c r="T45" s="243"/>
      <c r="U45" s="243"/>
    </row>
    <row r="46" spans="2:21">
      <c r="B46" s="145" t="str">
        <f t="shared" si="0"/>
        <v/>
      </c>
      <c r="C46" s="495">
        <f>IF(D11="","-",+C45+1)</f>
        <v>2043</v>
      </c>
      <c r="D46" s="508">
        <f>IF(F45+SUM(E$17:E45)=D$10,F45,D$10-SUM(E$17:E45))</f>
        <v>2595325.050231725</v>
      </c>
      <c r="E46" s="509">
        <f t="shared" si="16"/>
        <v>401650.61181818182</v>
      </c>
      <c r="F46" s="510">
        <f t="shared" si="17"/>
        <v>2193674.4384135432</v>
      </c>
      <c r="G46" s="511">
        <f t="shared" si="18"/>
        <v>676440.46657493571</v>
      </c>
      <c r="H46" s="477">
        <f t="shared" si="19"/>
        <v>676440.46657493571</v>
      </c>
      <c r="I46" s="500">
        <f t="shared" si="6"/>
        <v>0</v>
      </c>
      <c r="J46" s="500"/>
      <c r="K46" s="512"/>
      <c r="L46" s="504">
        <f t="shared" si="20"/>
        <v>0</v>
      </c>
      <c r="M46" s="512"/>
      <c r="N46" s="504">
        <f t="shared" si="4"/>
        <v>0</v>
      </c>
      <c r="O46" s="504">
        <f t="shared" si="5"/>
        <v>0</v>
      </c>
      <c r="P46" s="278"/>
      <c r="R46" s="243"/>
      <c r="S46" s="243"/>
      <c r="T46" s="243"/>
      <c r="U46" s="243"/>
    </row>
    <row r="47" spans="2:21">
      <c r="B47" s="145" t="str">
        <f t="shared" si="0"/>
        <v/>
      </c>
      <c r="C47" s="495">
        <f>IF(D11="","-",+C46+1)</f>
        <v>2044</v>
      </c>
      <c r="D47" s="508">
        <f>IF(F46+SUM(E$17:E46)=D$10,F46,D$10-SUM(E$17:E46))</f>
        <v>2193674.4384135432</v>
      </c>
      <c r="E47" s="509">
        <f t="shared" si="16"/>
        <v>401650.61181818182</v>
      </c>
      <c r="F47" s="510">
        <f t="shared" si="17"/>
        <v>1792023.8265953613</v>
      </c>
      <c r="G47" s="511">
        <f t="shared" si="18"/>
        <v>630347.53482743155</v>
      </c>
      <c r="H47" s="477">
        <f t="shared" si="19"/>
        <v>630347.53482743155</v>
      </c>
      <c r="I47" s="500">
        <f t="shared" si="6"/>
        <v>0</v>
      </c>
      <c r="J47" s="500"/>
      <c r="K47" s="512"/>
      <c r="L47" s="504">
        <f t="shared" si="20"/>
        <v>0</v>
      </c>
      <c r="M47" s="512"/>
      <c r="N47" s="504">
        <f t="shared" si="4"/>
        <v>0</v>
      </c>
      <c r="O47" s="504">
        <f t="shared" si="5"/>
        <v>0</v>
      </c>
      <c r="P47" s="278"/>
      <c r="R47" s="243"/>
      <c r="S47" s="243"/>
      <c r="T47" s="243"/>
      <c r="U47" s="243"/>
    </row>
    <row r="48" spans="2:21">
      <c r="B48" s="145" t="str">
        <f t="shared" si="0"/>
        <v/>
      </c>
      <c r="C48" s="495">
        <f>IF(D11="","-",+C47+1)</f>
        <v>2045</v>
      </c>
      <c r="D48" s="508">
        <f>IF(F47+SUM(E$17:E47)=D$10,F47,D$10-SUM(E$17:E47))</f>
        <v>1792023.8265953613</v>
      </c>
      <c r="E48" s="509">
        <f t="shared" si="16"/>
        <v>401650.61181818182</v>
      </c>
      <c r="F48" s="510">
        <f t="shared" si="17"/>
        <v>1390373.2147771795</v>
      </c>
      <c r="G48" s="511">
        <f t="shared" si="18"/>
        <v>584254.60307992727</v>
      </c>
      <c r="H48" s="477">
        <f t="shared" si="19"/>
        <v>584254.60307992727</v>
      </c>
      <c r="I48" s="500">
        <f t="shared" si="6"/>
        <v>0</v>
      </c>
      <c r="J48" s="500"/>
      <c r="K48" s="512"/>
      <c r="L48" s="504">
        <f t="shared" si="20"/>
        <v>0</v>
      </c>
      <c r="M48" s="512"/>
      <c r="N48" s="504">
        <f t="shared" si="4"/>
        <v>0</v>
      </c>
      <c r="O48" s="504">
        <f t="shared" si="5"/>
        <v>0</v>
      </c>
      <c r="P48" s="278"/>
      <c r="R48" s="243"/>
      <c r="S48" s="243"/>
      <c r="T48" s="243"/>
      <c r="U48" s="243"/>
    </row>
    <row r="49" spans="2:21">
      <c r="B49" s="145" t="str">
        <f t="shared" si="0"/>
        <v/>
      </c>
      <c r="C49" s="495">
        <f>IF(D11="","-",+C48+1)</f>
        <v>2046</v>
      </c>
      <c r="D49" s="508">
        <f>IF(F48+SUM(E$17:E48)=D$10,F48,D$10-SUM(E$17:E48))</f>
        <v>1390373.2147771795</v>
      </c>
      <c r="E49" s="509">
        <f t="shared" si="16"/>
        <v>401650.61181818182</v>
      </c>
      <c r="F49" s="510">
        <f t="shared" si="17"/>
        <v>988722.60295899771</v>
      </c>
      <c r="G49" s="511">
        <f t="shared" si="18"/>
        <v>538161.67133242299</v>
      </c>
      <c r="H49" s="477">
        <f t="shared" si="19"/>
        <v>538161.67133242299</v>
      </c>
      <c r="I49" s="500">
        <f t="shared" si="6"/>
        <v>0</v>
      </c>
      <c r="J49" s="500"/>
      <c r="K49" s="512"/>
      <c r="L49" s="504">
        <f t="shared" si="20"/>
        <v>0</v>
      </c>
      <c r="M49" s="512"/>
      <c r="N49" s="504">
        <f t="shared" si="4"/>
        <v>0</v>
      </c>
      <c r="O49" s="504">
        <f t="shared" si="5"/>
        <v>0</v>
      </c>
      <c r="P49" s="278"/>
      <c r="R49" s="243"/>
      <c r="S49" s="243"/>
      <c r="T49" s="243"/>
      <c r="U49" s="243"/>
    </row>
    <row r="50" spans="2:21">
      <c r="B50" s="145" t="str">
        <f t="shared" si="0"/>
        <v/>
      </c>
      <c r="C50" s="495">
        <f>IF(D11="","-",+C49+1)</f>
        <v>2047</v>
      </c>
      <c r="D50" s="508">
        <f>IF(F49+SUM(E$17:E49)=D$10,F49,D$10-SUM(E$17:E49))</f>
        <v>988722.60295899771</v>
      </c>
      <c r="E50" s="509">
        <f t="shared" si="16"/>
        <v>401650.61181818182</v>
      </c>
      <c r="F50" s="510">
        <f t="shared" si="17"/>
        <v>587071.9911408159</v>
      </c>
      <c r="G50" s="511">
        <f t="shared" si="18"/>
        <v>492068.73958491877</v>
      </c>
      <c r="H50" s="477">
        <f t="shared" si="19"/>
        <v>492068.73958491877</v>
      </c>
      <c r="I50" s="500">
        <f t="shared" si="6"/>
        <v>0</v>
      </c>
      <c r="J50" s="500"/>
      <c r="K50" s="512"/>
      <c r="L50" s="504">
        <f t="shared" si="20"/>
        <v>0</v>
      </c>
      <c r="M50" s="512"/>
      <c r="N50" s="504">
        <f t="shared" si="4"/>
        <v>0</v>
      </c>
      <c r="O50" s="504">
        <f t="shared" si="5"/>
        <v>0</v>
      </c>
      <c r="P50" s="278"/>
      <c r="R50" s="243"/>
      <c r="S50" s="243"/>
      <c r="T50" s="243"/>
      <c r="U50" s="243"/>
    </row>
    <row r="51" spans="2:21">
      <c r="B51" s="145" t="str">
        <f t="shared" si="0"/>
        <v/>
      </c>
      <c r="C51" s="495">
        <f>IF(D11="","-",+C50+1)</f>
        <v>2048</v>
      </c>
      <c r="D51" s="508">
        <f>IF(F50+SUM(E$17:E50)=D$10,F50,D$10-SUM(E$17:E50))</f>
        <v>587071.9911408159</v>
      </c>
      <c r="E51" s="509">
        <f t="shared" si="16"/>
        <v>401650.61181818182</v>
      </c>
      <c r="F51" s="510">
        <f t="shared" si="17"/>
        <v>185421.37932263408</v>
      </c>
      <c r="G51" s="511">
        <f t="shared" si="18"/>
        <v>445975.80783741456</v>
      </c>
      <c r="H51" s="477">
        <f t="shared" si="19"/>
        <v>445975.80783741456</v>
      </c>
      <c r="I51" s="500">
        <f t="shared" si="6"/>
        <v>0</v>
      </c>
      <c r="J51" s="500"/>
      <c r="K51" s="512"/>
      <c r="L51" s="504">
        <f t="shared" si="20"/>
        <v>0</v>
      </c>
      <c r="M51" s="512"/>
      <c r="N51" s="504">
        <f t="shared" si="4"/>
        <v>0</v>
      </c>
      <c r="O51" s="504">
        <f t="shared" si="5"/>
        <v>0</v>
      </c>
      <c r="P51" s="278"/>
      <c r="R51" s="243"/>
      <c r="S51" s="243"/>
      <c r="T51" s="243"/>
      <c r="U51" s="243"/>
    </row>
    <row r="52" spans="2:21">
      <c r="B52" s="145" t="str">
        <f t="shared" si="0"/>
        <v/>
      </c>
      <c r="C52" s="495">
        <f>IF(D11="","-",+C51+1)</f>
        <v>2049</v>
      </c>
      <c r="D52" s="508">
        <f>IF(F51+SUM(E$17:E51)=D$10,F51,D$10-SUM(E$17:E51))</f>
        <v>185421.37932263408</v>
      </c>
      <c r="E52" s="509">
        <f t="shared" si="16"/>
        <v>185421.37932263408</v>
      </c>
      <c r="F52" s="510">
        <f t="shared" si="17"/>
        <v>0</v>
      </c>
      <c r="G52" s="511">
        <f t="shared" si="18"/>
        <v>196060.74439537438</v>
      </c>
      <c r="H52" s="477">
        <f t="shared" si="19"/>
        <v>196060.74439537438</v>
      </c>
      <c r="I52" s="500">
        <f t="shared" si="6"/>
        <v>0</v>
      </c>
      <c r="J52" s="500"/>
      <c r="K52" s="512"/>
      <c r="L52" s="504">
        <f t="shared" si="20"/>
        <v>0</v>
      </c>
      <c r="M52" s="512"/>
      <c r="N52" s="504">
        <f t="shared" si="4"/>
        <v>0</v>
      </c>
      <c r="O52" s="504">
        <f t="shared" si="5"/>
        <v>0</v>
      </c>
      <c r="P52" s="278"/>
      <c r="R52" s="243"/>
      <c r="S52" s="243"/>
      <c r="T52" s="243"/>
      <c r="U52" s="243"/>
    </row>
    <row r="53" spans="2:21">
      <c r="B53" s="145" t="str">
        <f t="shared" si="0"/>
        <v/>
      </c>
      <c r="C53" s="495">
        <f>IF(D11="","-",+C52+1)</f>
        <v>2050</v>
      </c>
      <c r="D53" s="508">
        <f>IF(F52+SUM(E$17:E52)=D$10,F52,D$10-SUM(E$17:E52))</f>
        <v>0</v>
      </c>
      <c r="E53" s="509">
        <f t="shared" si="16"/>
        <v>0</v>
      </c>
      <c r="F53" s="510">
        <f t="shared" si="17"/>
        <v>0</v>
      </c>
      <c r="G53" s="511">
        <f t="shared" si="18"/>
        <v>0</v>
      </c>
      <c r="H53" s="477">
        <f t="shared" si="19"/>
        <v>0</v>
      </c>
      <c r="I53" s="500">
        <f t="shared" si="6"/>
        <v>0</v>
      </c>
      <c r="J53" s="500"/>
      <c r="K53" s="512"/>
      <c r="L53" s="504">
        <f t="shared" si="20"/>
        <v>0</v>
      </c>
      <c r="M53" s="512"/>
      <c r="N53" s="504">
        <f t="shared" si="4"/>
        <v>0</v>
      </c>
      <c r="O53" s="504">
        <f t="shared" si="5"/>
        <v>0</v>
      </c>
      <c r="P53" s="278"/>
      <c r="R53" s="243"/>
      <c r="S53" s="243"/>
      <c r="T53" s="243"/>
      <c r="U53" s="243"/>
    </row>
    <row r="54" spans="2:21">
      <c r="B54" s="145" t="str">
        <f t="shared" si="0"/>
        <v/>
      </c>
      <c r="C54" s="495">
        <f>IF(D11="","-",+C53+1)</f>
        <v>2051</v>
      </c>
      <c r="D54" s="508">
        <f>IF(F53+SUM(E$17:E53)=D$10,F53,D$10-SUM(E$17:E53))</f>
        <v>0</v>
      </c>
      <c r="E54" s="509">
        <f t="shared" si="16"/>
        <v>0</v>
      </c>
      <c r="F54" s="510">
        <f t="shared" si="17"/>
        <v>0</v>
      </c>
      <c r="G54" s="511">
        <f t="shared" si="18"/>
        <v>0</v>
      </c>
      <c r="H54" s="477">
        <f t="shared" si="19"/>
        <v>0</v>
      </c>
      <c r="I54" s="500">
        <f t="shared" si="6"/>
        <v>0</v>
      </c>
      <c r="J54" s="500"/>
      <c r="K54" s="512"/>
      <c r="L54" s="504">
        <f t="shared" si="20"/>
        <v>0</v>
      </c>
      <c r="M54" s="512"/>
      <c r="N54" s="504">
        <f t="shared" si="4"/>
        <v>0</v>
      </c>
      <c r="O54" s="504">
        <f t="shared" si="5"/>
        <v>0</v>
      </c>
      <c r="P54" s="278"/>
      <c r="R54" s="243"/>
      <c r="S54" s="243"/>
      <c r="T54" s="243"/>
      <c r="U54" s="243"/>
    </row>
    <row r="55" spans="2:21">
      <c r="B55" s="145" t="str">
        <f t="shared" si="0"/>
        <v/>
      </c>
      <c r="C55" s="495">
        <f>IF(D11="","-",+C54+1)</f>
        <v>2052</v>
      </c>
      <c r="D55" s="508">
        <f>IF(F54+SUM(E$17:E54)=D$10,F54,D$10-SUM(E$17:E54))</f>
        <v>0</v>
      </c>
      <c r="E55" s="509">
        <f t="shared" si="16"/>
        <v>0</v>
      </c>
      <c r="F55" s="510">
        <f t="shared" si="17"/>
        <v>0</v>
      </c>
      <c r="G55" s="511">
        <f t="shared" si="18"/>
        <v>0</v>
      </c>
      <c r="H55" s="477">
        <f t="shared" si="19"/>
        <v>0</v>
      </c>
      <c r="I55" s="500">
        <f t="shared" si="6"/>
        <v>0</v>
      </c>
      <c r="J55" s="500"/>
      <c r="K55" s="512"/>
      <c r="L55" s="504">
        <f t="shared" si="20"/>
        <v>0</v>
      </c>
      <c r="M55" s="512"/>
      <c r="N55" s="504">
        <f t="shared" si="4"/>
        <v>0</v>
      </c>
      <c r="O55" s="504">
        <f t="shared" si="5"/>
        <v>0</v>
      </c>
      <c r="P55" s="278"/>
      <c r="R55" s="243"/>
      <c r="S55" s="243"/>
      <c r="T55" s="243"/>
      <c r="U55" s="243"/>
    </row>
    <row r="56" spans="2:21">
      <c r="B56" s="145" t="str">
        <f t="shared" si="0"/>
        <v/>
      </c>
      <c r="C56" s="495">
        <f>IF(D11="","-",+C55+1)</f>
        <v>2053</v>
      </c>
      <c r="D56" s="508">
        <f>IF(F55+SUM(E$17:E55)=D$10,F55,D$10-SUM(E$17:E55))</f>
        <v>0</v>
      </c>
      <c r="E56" s="509">
        <f t="shared" si="16"/>
        <v>0</v>
      </c>
      <c r="F56" s="510">
        <f t="shared" si="17"/>
        <v>0</v>
      </c>
      <c r="G56" s="511">
        <f t="shared" si="18"/>
        <v>0</v>
      </c>
      <c r="H56" s="477">
        <f t="shared" si="19"/>
        <v>0</v>
      </c>
      <c r="I56" s="500">
        <f t="shared" si="6"/>
        <v>0</v>
      </c>
      <c r="J56" s="500"/>
      <c r="K56" s="512"/>
      <c r="L56" s="504">
        <f t="shared" si="20"/>
        <v>0</v>
      </c>
      <c r="M56" s="512"/>
      <c r="N56" s="504">
        <f t="shared" si="4"/>
        <v>0</v>
      </c>
      <c r="O56" s="504">
        <f t="shared" si="5"/>
        <v>0</v>
      </c>
      <c r="P56" s="278"/>
      <c r="R56" s="243"/>
      <c r="S56" s="243"/>
      <c r="T56" s="243"/>
      <c r="U56" s="243"/>
    </row>
    <row r="57" spans="2:21">
      <c r="B57" s="145" t="str">
        <f t="shared" si="0"/>
        <v/>
      </c>
      <c r="C57" s="495">
        <f>IF(D11="","-",+C56+1)</f>
        <v>2054</v>
      </c>
      <c r="D57" s="508">
        <f>IF(F56+SUM(E$17:E56)=D$10,F56,D$10-SUM(E$17:E56))</f>
        <v>0</v>
      </c>
      <c r="E57" s="509">
        <f t="shared" si="16"/>
        <v>0</v>
      </c>
      <c r="F57" s="510">
        <f t="shared" si="17"/>
        <v>0</v>
      </c>
      <c r="G57" s="511">
        <f t="shared" si="18"/>
        <v>0</v>
      </c>
      <c r="H57" s="477">
        <f t="shared" si="19"/>
        <v>0</v>
      </c>
      <c r="I57" s="500">
        <f t="shared" si="6"/>
        <v>0</v>
      </c>
      <c r="J57" s="500"/>
      <c r="K57" s="512"/>
      <c r="L57" s="504">
        <f t="shared" si="20"/>
        <v>0</v>
      </c>
      <c r="M57" s="512"/>
      <c r="N57" s="504">
        <f t="shared" si="4"/>
        <v>0</v>
      </c>
      <c r="O57" s="504">
        <f t="shared" si="5"/>
        <v>0</v>
      </c>
      <c r="P57" s="278"/>
      <c r="R57" s="243"/>
      <c r="S57" s="243"/>
      <c r="T57" s="243"/>
      <c r="U57" s="243"/>
    </row>
    <row r="58" spans="2:21">
      <c r="B58" s="145" t="str">
        <f t="shared" si="0"/>
        <v/>
      </c>
      <c r="C58" s="495">
        <f>IF(D11="","-",+C57+1)</f>
        <v>2055</v>
      </c>
      <c r="D58" s="508">
        <f>IF(F57+SUM(E$17:E57)=D$10,F57,D$10-SUM(E$17:E57))</f>
        <v>0</v>
      </c>
      <c r="E58" s="509">
        <f t="shared" si="16"/>
        <v>0</v>
      </c>
      <c r="F58" s="510">
        <f t="shared" si="17"/>
        <v>0</v>
      </c>
      <c r="G58" s="511">
        <f t="shared" si="18"/>
        <v>0</v>
      </c>
      <c r="H58" s="477">
        <f t="shared" si="19"/>
        <v>0</v>
      </c>
      <c r="I58" s="500">
        <f t="shared" si="6"/>
        <v>0</v>
      </c>
      <c r="J58" s="500"/>
      <c r="K58" s="512"/>
      <c r="L58" s="504">
        <f t="shared" si="20"/>
        <v>0</v>
      </c>
      <c r="M58" s="512"/>
      <c r="N58" s="504">
        <f t="shared" si="4"/>
        <v>0</v>
      </c>
      <c r="O58" s="504">
        <f t="shared" si="5"/>
        <v>0</v>
      </c>
      <c r="P58" s="278"/>
      <c r="R58" s="243"/>
      <c r="S58" s="243"/>
      <c r="T58" s="243"/>
      <c r="U58" s="243"/>
    </row>
    <row r="59" spans="2:21">
      <c r="B59" s="145" t="str">
        <f t="shared" si="0"/>
        <v/>
      </c>
      <c r="C59" s="495">
        <f>IF(D11="","-",+C58+1)</f>
        <v>2056</v>
      </c>
      <c r="D59" s="508">
        <f>IF(F58+SUM(E$17:E58)=D$10,F58,D$10-SUM(E$17:E58))</f>
        <v>0</v>
      </c>
      <c r="E59" s="509">
        <f t="shared" si="16"/>
        <v>0</v>
      </c>
      <c r="F59" s="510">
        <f t="shared" si="17"/>
        <v>0</v>
      </c>
      <c r="G59" s="511">
        <f t="shared" si="18"/>
        <v>0</v>
      </c>
      <c r="H59" s="477">
        <f t="shared" si="19"/>
        <v>0</v>
      </c>
      <c r="I59" s="500">
        <f t="shared" si="6"/>
        <v>0</v>
      </c>
      <c r="J59" s="500"/>
      <c r="K59" s="512"/>
      <c r="L59" s="504">
        <f t="shared" si="20"/>
        <v>0</v>
      </c>
      <c r="M59" s="512"/>
      <c r="N59" s="504">
        <f t="shared" si="4"/>
        <v>0</v>
      </c>
      <c r="O59" s="504">
        <f t="shared" si="5"/>
        <v>0</v>
      </c>
      <c r="P59" s="278"/>
      <c r="R59" s="243"/>
      <c r="S59" s="243"/>
      <c r="T59" s="243"/>
      <c r="U59" s="243"/>
    </row>
    <row r="60" spans="2:21">
      <c r="B60" s="145" t="str">
        <f t="shared" si="0"/>
        <v/>
      </c>
      <c r="C60" s="495">
        <f>IF(D11="","-",+C59+1)</f>
        <v>2057</v>
      </c>
      <c r="D60" s="508">
        <f>IF(F59+SUM(E$17:E59)=D$10,F59,D$10-SUM(E$17:E59))</f>
        <v>0</v>
      </c>
      <c r="E60" s="509">
        <f t="shared" si="16"/>
        <v>0</v>
      </c>
      <c r="F60" s="510">
        <f t="shared" si="17"/>
        <v>0</v>
      </c>
      <c r="G60" s="511">
        <f t="shared" si="18"/>
        <v>0</v>
      </c>
      <c r="H60" s="477">
        <f t="shared" si="19"/>
        <v>0</v>
      </c>
      <c r="I60" s="500">
        <f t="shared" si="6"/>
        <v>0</v>
      </c>
      <c r="J60" s="500"/>
      <c r="K60" s="512"/>
      <c r="L60" s="504">
        <f t="shared" si="20"/>
        <v>0</v>
      </c>
      <c r="M60" s="512"/>
      <c r="N60" s="504">
        <f t="shared" si="4"/>
        <v>0</v>
      </c>
      <c r="O60" s="504">
        <f t="shared" si="5"/>
        <v>0</v>
      </c>
      <c r="P60" s="278"/>
      <c r="R60" s="243"/>
      <c r="S60" s="243"/>
      <c r="T60" s="243"/>
      <c r="U60" s="243"/>
    </row>
    <row r="61" spans="2:21">
      <c r="B61" s="145" t="str">
        <f t="shared" si="0"/>
        <v/>
      </c>
      <c r="C61" s="495">
        <f>IF(D11="","-",+C60+1)</f>
        <v>2058</v>
      </c>
      <c r="D61" s="508">
        <f>IF(F60+SUM(E$17:E60)=D$10,F60,D$10-SUM(E$17:E60))</f>
        <v>0</v>
      </c>
      <c r="E61" s="509">
        <f t="shared" si="16"/>
        <v>0</v>
      </c>
      <c r="F61" s="510">
        <f t="shared" si="17"/>
        <v>0</v>
      </c>
      <c r="G61" s="511">
        <f t="shared" si="18"/>
        <v>0</v>
      </c>
      <c r="H61" s="477">
        <f t="shared" si="19"/>
        <v>0</v>
      </c>
      <c r="I61" s="500">
        <f t="shared" si="6"/>
        <v>0</v>
      </c>
      <c r="J61" s="500"/>
      <c r="K61" s="512"/>
      <c r="L61" s="504">
        <f t="shared" si="20"/>
        <v>0</v>
      </c>
      <c r="M61" s="512"/>
      <c r="N61" s="504">
        <f t="shared" si="4"/>
        <v>0</v>
      </c>
      <c r="O61" s="504">
        <f t="shared" si="5"/>
        <v>0</v>
      </c>
      <c r="P61" s="278"/>
      <c r="R61" s="243"/>
      <c r="S61" s="243"/>
      <c r="T61" s="243"/>
      <c r="U61" s="243"/>
    </row>
    <row r="62" spans="2:21">
      <c r="B62" s="145" t="str">
        <f t="shared" si="0"/>
        <v/>
      </c>
      <c r="C62" s="495">
        <f>IF(D11="","-",+C61+1)</f>
        <v>2059</v>
      </c>
      <c r="D62" s="508">
        <f>IF(F61+SUM(E$17:E61)=D$10,F61,D$10-SUM(E$17:E61))</f>
        <v>0</v>
      </c>
      <c r="E62" s="509">
        <f t="shared" si="16"/>
        <v>0</v>
      </c>
      <c r="F62" s="510">
        <f t="shared" si="17"/>
        <v>0</v>
      </c>
      <c r="G62" s="511">
        <f t="shared" si="18"/>
        <v>0</v>
      </c>
      <c r="H62" s="477">
        <f t="shared" si="19"/>
        <v>0</v>
      </c>
      <c r="I62" s="500">
        <f t="shared" si="6"/>
        <v>0</v>
      </c>
      <c r="J62" s="500"/>
      <c r="K62" s="512"/>
      <c r="L62" s="504">
        <f t="shared" si="20"/>
        <v>0</v>
      </c>
      <c r="M62" s="512"/>
      <c r="N62" s="504">
        <f t="shared" si="4"/>
        <v>0</v>
      </c>
      <c r="O62" s="504">
        <f t="shared" si="5"/>
        <v>0</v>
      </c>
      <c r="P62" s="278"/>
      <c r="R62" s="243"/>
      <c r="S62" s="243"/>
      <c r="T62" s="243"/>
      <c r="U62" s="243"/>
    </row>
    <row r="63" spans="2:21">
      <c r="B63" s="145" t="str">
        <f t="shared" si="0"/>
        <v/>
      </c>
      <c r="C63" s="495">
        <f>IF(D11="","-",+C62+1)</f>
        <v>2060</v>
      </c>
      <c r="D63" s="508">
        <f>IF(F62+SUM(E$17:E62)=D$10,F62,D$10-SUM(E$17:E62))</f>
        <v>0</v>
      </c>
      <c r="E63" s="509">
        <f t="shared" si="16"/>
        <v>0</v>
      </c>
      <c r="F63" s="510">
        <f t="shared" si="17"/>
        <v>0</v>
      </c>
      <c r="G63" s="511">
        <f t="shared" si="18"/>
        <v>0</v>
      </c>
      <c r="H63" s="477">
        <f t="shared" si="19"/>
        <v>0</v>
      </c>
      <c r="I63" s="500">
        <f t="shared" si="6"/>
        <v>0</v>
      </c>
      <c r="J63" s="500"/>
      <c r="K63" s="512"/>
      <c r="L63" s="504">
        <f t="shared" si="20"/>
        <v>0</v>
      </c>
      <c r="M63" s="512"/>
      <c r="N63" s="504">
        <f t="shared" si="4"/>
        <v>0</v>
      </c>
      <c r="O63" s="504">
        <f t="shared" si="5"/>
        <v>0</v>
      </c>
      <c r="P63" s="278"/>
      <c r="R63" s="243"/>
      <c r="S63" s="243"/>
      <c r="T63" s="243"/>
      <c r="U63" s="243"/>
    </row>
    <row r="64" spans="2:21">
      <c r="B64" s="145" t="str">
        <f t="shared" si="0"/>
        <v/>
      </c>
      <c r="C64" s="495">
        <f>IF(D11="","-",+C63+1)</f>
        <v>2061</v>
      </c>
      <c r="D64" s="508">
        <f>IF(F63+SUM(E$17:E63)=D$10,F63,D$10-SUM(E$17:E63))</f>
        <v>0</v>
      </c>
      <c r="E64" s="509">
        <f t="shared" si="16"/>
        <v>0</v>
      </c>
      <c r="F64" s="510">
        <f t="shared" si="17"/>
        <v>0</v>
      </c>
      <c r="G64" s="511">
        <f t="shared" si="18"/>
        <v>0</v>
      </c>
      <c r="H64" s="477">
        <f t="shared" si="19"/>
        <v>0</v>
      </c>
      <c r="I64" s="500">
        <f t="shared" si="6"/>
        <v>0</v>
      </c>
      <c r="J64" s="500"/>
      <c r="K64" s="512"/>
      <c r="L64" s="504">
        <f t="shared" si="20"/>
        <v>0</v>
      </c>
      <c r="M64" s="512"/>
      <c r="N64" s="504">
        <f t="shared" si="4"/>
        <v>0</v>
      </c>
      <c r="O64" s="504">
        <f t="shared" si="5"/>
        <v>0</v>
      </c>
      <c r="P64" s="278"/>
      <c r="R64" s="243"/>
      <c r="S64" s="243"/>
      <c r="T64" s="243"/>
      <c r="U64" s="243"/>
    </row>
    <row r="65" spans="2:21">
      <c r="B65" s="145" t="str">
        <f t="shared" si="0"/>
        <v/>
      </c>
      <c r="C65" s="495">
        <f>IF(D11="","-",+C64+1)</f>
        <v>2062</v>
      </c>
      <c r="D65" s="508">
        <f>IF(F64+SUM(E$17:E64)=D$10,F64,D$10-SUM(E$17:E64))</f>
        <v>0</v>
      </c>
      <c r="E65" s="509">
        <f t="shared" si="16"/>
        <v>0</v>
      </c>
      <c r="F65" s="510">
        <f t="shared" si="17"/>
        <v>0</v>
      </c>
      <c r="G65" s="511">
        <f t="shared" si="18"/>
        <v>0</v>
      </c>
      <c r="H65" s="477">
        <f t="shared" si="19"/>
        <v>0</v>
      </c>
      <c r="I65" s="500">
        <f t="shared" si="6"/>
        <v>0</v>
      </c>
      <c r="J65" s="500"/>
      <c r="K65" s="512"/>
      <c r="L65" s="504">
        <f t="shared" si="20"/>
        <v>0</v>
      </c>
      <c r="M65" s="512"/>
      <c r="N65" s="504">
        <f t="shared" si="4"/>
        <v>0</v>
      </c>
      <c r="O65" s="504">
        <f t="shared" si="5"/>
        <v>0</v>
      </c>
      <c r="P65" s="278"/>
      <c r="R65" s="243"/>
      <c r="S65" s="243"/>
      <c r="T65" s="243"/>
      <c r="U65" s="243"/>
    </row>
    <row r="66" spans="2:21">
      <c r="B66" s="145" t="str">
        <f t="shared" si="0"/>
        <v/>
      </c>
      <c r="C66" s="495">
        <f>IF(D11="","-",+C65+1)</f>
        <v>2063</v>
      </c>
      <c r="D66" s="508">
        <f>IF(F65+SUM(E$17:E65)=D$10,F65,D$10-SUM(E$17:E65))</f>
        <v>0</v>
      </c>
      <c r="E66" s="509">
        <f t="shared" si="16"/>
        <v>0</v>
      </c>
      <c r="F66" s="510">
        <f t="shared" si="17"/>
        <v>0</v>
      </c>
      <c r="G66" s="511">
        <f t="shared" si="18"/>
        <v>0</v>
      </c>
      <c r="H66" s="477">
        <f t="shared" si="19"/>
        <v>0</v>
      </c>
      <c r="I66" s="500">
        <f t="shared" si="6"/>
        <v>0</v>
      </c>
      <c r="J66" s="500"/>
      <c r="K66" s="512"/>
      <c r="L66" s="504">
        <f t="shared" si="20"/>
        <v>0</v>
      </c>
      <c r="M66" s="512"/>
      <c r="N66" s="504">
        <f t="shared" si="4"/>
        <v>0</v>
      </c>
      <c r="O66" s="504">
        <f t="shared" si="5"/>
        <v>0</v>
      </c>
      <c r="P66" s="278"/>
      <c r="R66" s="243"/>
      <c r="S66" s="243"/>
      <c r="T66" s="243"/>
      <c r="U66" s="243"/>
    </row>
    <row r="67" spans="2:21">
      <c r="B67" s="145" t="str">
        <f t="shared" si="0"/>
        <v/>
      </c>
      <c r="C67" s="495">
        <f>IF(D11="","-",+C66+1)</f>
        <v>2064</v>
      </c>
      <c r="D67" s="508">
        <f>IF(F66+SUM(E$17:E66)=D$10,F66,D$10-SUM(E$17:E66))</f>
        <v>0</v>
      </c>
      <c r="E67" s="509">
        <f t="shared" si="16"/>
        <v>0</v>
      </c>
      <c r="F67" s="510">
        <f t="shared" si="17"/>
        <v>0</v>
      </c>
      <c r="G67" s="511">
        <f t="shared" si="18"/>
        <v>0</v>
      </c>
      <c r="H67" s="477">
        <f t="shared" si="19"/>
        <v>0</v>
      </c>
      <c r="I67" s="500">
        <f t="shared" si="6"/>
        <v>0</v>
      </c>
      <c r="J67" s="500"/>
      <c r="K67" s="512"/>
      <c r="L67" s="504">
        <f t="shared" si="20"/>
        <v>0</v>
      </c>
      <c r="M67" s="512"/>
      <c r="N67" s="504">
        <f t="shared" si="4"/>
        <v>0</v>
      </c>
      <c r="O67" s="504">
        <f t="shared" si="5"/>
        <v>0</v>
      </c>
      <c r="P67" s="278"/>
      <c r="R67" s="243"/>
      <c r="S67" s="243"/>
      <c r="T67" s="243"/>
      <c r="U67" s="243"/>
    </row>
    <row r="68" spans="2:21">
      <c r="B68" s="145" t="str">
        <f t="shared" si="0"/>
        <v/>
      </c>
      <c r="C68" s="495">
        <f>IF(D11="","-",+C67+1)</f>
        <v>2065</v>
      </c>
      <c r="D68" s="508">
        <f>IF(F67+SUM(E$17:E67)=D$10,F67,D$10-SUM(E$17:E67))</f>
        <v>0</v>
      </c>
      <c r="E68" s="509">
        <f t="shared" si="16"/>
        <v>0</v>
      </c>
      <c r="F68" s="510">
        <f t="shared" si="17"/>
        <v>0</v>
      </c>
      <c r="G68" s="511">
        <f t="shared" si="18"/>
        <v>0</v>
      </c>
      <c r="H68" s="477">
        <f t="shared" si="19"/>
        <v>0</v>
      </c>
      <c r="I68" s="500">
        <f t="shared" si="6"/>
        <v>0</v>
      </c>
      <c r="J68" s="500"/>
      <c r="K68" s="512"/>
      <c r="L68" s="504">
        <f t="shared" si="20"/>
        <v>0</v>
      </c>
      <c r="M68" s="512"/>
      <c r="N68" s="504">
        <f t="shared" si="4"/>
        <v>0</v>
      </c>
      <c r="O68" s="504">
        <f t="shared" si="5"/>
        <v>0</v>
      </c>
      <c r="P68" s="278"/>
      <c r="R68" s="243"/>
      <c r="S68" s="243"/>
      <c r="T68" s="243"/>
      <c r="U68" s="243"/>
    </row>
    <row r="69" spans="2:21">
      <c r="B69" s="145" t="str">
        <f t="shared" si="0"/>
        <v/>
      </c>
      <c r="C69" s="495">
        <f>IF(D11="","-",+C68+1)</f>
        <v>2066</v>
      </c>
      <c r="D69" s="508">
        <f>IF(F68+SUM(E$17:E68)=D$10,F68,D$10-SUM(E$17:E68))</f>
        <v>0</v>
      </c>
      <c r="E69" s="509">
        <f t="shared" si="16"/>
        <v>0</v>
      </c>
      <c r="F69" s="510">
        <f t="shared" si="17"/>
        <v>0</v>
      </c>
      <c r="G69" s="511">
        <f t="shared" si="18"/>
        <v>0</v>
      </c>
      <c r="H69" s="477">
        <f t="shared" si="19"/>
        <v>0</v>
      </c>
      <c r="I69" s="500">
        <f t="shared" si="6"/>
        <v>0</v>
      </c>
      <c r="J69" s="500"/>
      <c r="K69" s="512"/>
      <c r="L69" s="504">
        <f t="shared" si="20"/>
        <v>0</v>
      </c>
      <c r="M69" s="512"/>
      <c r="N69" s="504">
        <f t="shared" si="4"/>
        <v>0</v>
      </c>
      <c r="O69" s="504">
        <f t="shared" si="5"/>
        <v>0</v>
      </c>
      <c r="P69" s="278"/>
      <c r="R69" s="243"/>
      <c r="S69" s="243"/>
      <c r="T69" s="243"/>
      <c r="U69" s="243"/>
    </row>
    <row r="70" spans="2:21">
      <c r="B70" s="145" t="str">
        <f t="shared" si="0"/>
        <v/>
      </c>
      <c r="C70" s="495">
        <f>IF(D11="","-",+C69+1)</f>
        <v>2067</v>
      </c>
      <c r="D70" s="508">
        <f>IF(F69+SUM(E$17:E69)=D$10,F69,D$10-SUM(E$17:E69))</f>
        <v>0</v>
      </c>
      <c r="E70" s="509">
        <f t="shared" si="16"/>
        <v>0</v>
      </c>
      <c r="F70" s="510">
        <f t="shared" si="17"/>
        <v>0</v>
      </c>
      <c r="G70" s="511">
        <f t="shared" si="18"/>
        <v>0</v>
      </c>
      <c r="H70" s="477">
        <f t="shared" si="19"/>
        <v>0</v>
      </c>
      <c r="I70" s="500">
        <f t="shared" si="6"/>
        <v>0</v>
      </c>
      <c r="J70" s="500"/>
      <c r="K70" s="512"/>
      <c r="L70" s="504">
        <f t="shared" si="20"/>
        <v>0</v>
      </c>
      <c r="M70" s="512"/>
      <c r="N70" s="504">
        <f t="shared" si="4"/>
        <v>0</v>
      </c>
      <c r="O70" s="504">
        <f t="shared" si="5"/>
        <v>0</v>
      </c>
      <c r="P70" s="278"/>
      <c r="R70" s="243"/>
      <c r="S70" s="243"/>
      <c r="T70" s="243"/>
      <c r="U70" s="243"/>
    </row>
    <row r="71" spans="2:21">
      <c r="B71" s="145" t="str">
        <f t="shared" si="0"/>
        <v/>
      </c>
      <c r="C71" s="495">
        <f>IF(D11="","-",+C70+1)</f>
        <v>2068</v>
      </c>
      <c r="D71" s="508">
        <f>IF(F70+SUM(E$17:E70)=D$10,F70,D$10-SUM(E$17:E70))</f>
        <v>0</v>
      </c>
      <c r="E71" s="509">
        <f t="shared" si="16"/>
        <v>0</v>
      </c>
      <c r="F71" s="510">
        <f t="shared" si="17"/>
        <v>0</v>
      </c>
      <c r="G71" s="511">
        <f t="shared" si="18"/>
        <v>0</v>
      </c>
      <c r="H71" s="477">
        <f t="shared" si="19"/>
        <v>0</v>
      </c>
      <c r="I71" s="500">
        <f t="shared" si="6"/>
        <v>0</v>
      </c>
      <c r="J71" s="500"/>
      <c r="K71" s="512"/>
      <c r="L71" s="504">
        <f t="shared" si="20"/>
        <v>0</v>
      </c>
      <c r="M71" s="512"/>
      <c r="N71" s="504">
        <f t="shared" si="4"/>
        <v>0</v>
      </c>
      <c r="O71" s="504">
        <f t="shared" si="5"/>
        <v>0</v>
      </c>
      <c r="P71" s="278"/>
      <c r="R71" s="243"/>
      <c r="S71" s="243"/>
      <c r="T71" s="243"/>
      <c r="U71" s="243"/>
    </row>
    <row r="72" spans="2:21">
      <c r="B72" s="145" t="str">
        <f t="shared" si="0"/>
        <v/>
      </c>
      <c r="C72" s="495">
        <f>IF(D11="","-",+C71+1)</f>
        <v>2069</v>
      </c>
      <c r="D72" s="508">
        <f>IF(F71+SUM(E$17:E71)=D$10,F71,D$10-SUM(E$17:E71))</f>
        <v>0</v>
      </c>
      <c r="E72" s="509">
        <f t="shared" si="16"/>
        <v>0</v>
      </c>
      <c r="F72" s="510">
        <f t="shared" si="17"/>
        <v>0</v>
      </c>
      <c r="G72" s="511">
        <f t="shared" si="18"/>
        <v>0</v>
      </c>
      <c r="H72" s="477">
        <f t="shared" si="19"/>
        <v>0</v>
      </c>
      <c r="I72" s="500">
        <f t="shared" si="6"/>
        <v>0</v>
      </c>
      <c r="J72" s="500"/>
      <c r="K72" s="512"/>
      <c r="L72" s="504">
        <f t="shared" si="20"/>
        <v>0</v>
      </c>
      <c r="M72" s="512"/>
      <c r="N72" s="504">
        <f t="shared" si="4"/>
        <v>0</v>
      </c>
      <c r="O72" s="504">
        <f t="shared" si="5"/>
        <v>0</v>
      </c>
      <c r="P72" s="278"/>
      <c r="R72" s="243"/>
      <c r="S72" s="243"/>
      <c r="T72" s="243"/>
      <c r="U72" s="243"/>
    </row>
    <row r="73" spans="2:21" ht="13.5" thickBot="1">
      <c r="B73" s="145" t="str">
        <f t="shared" si="0"/>
        <v/>
      </c>
      <c r="C73" s="524">
        <f>IF(D11="","-",+C72+1)</f>
        <v>2070</v>
      </c>
      <c r="D73" s="525">
        <f>IF(F72+SUM(E$17:E72)=D$10,F72,D$10-SUM(E$17:E72))</f>
        <v>0</v>
      </c>
      <c r="E73" s="526">
        <f t="shared" si="16"/>
        <v>0</v>
      </c>
      <c r="F73" s="527">
        <f t="shared" si="17"/>
        <v>0</v>
      </c>
      <c r="G73" s="527">
        <f t="shared" si="18"/>
        <v>0</v>
      </c>
      <c r="H73" s="527">
        <f t="shared" si="19"/>
        <v>0</v>
      </c>
      <c r="I73" s="529">
        <f t="shared" si="6"/>
        <v>0</v>
      </c>
      <c r="J73" s="500"/>
      <c r="K73" s="530"/>
      <c r="L73" s="531">
        <f t="shared" si="20"/>
        <v>0</v>
      </c>
      <c r="M73" s="530"/>
      <c r="N73" s="531">
        <f t="shared" si="4"/>
        <v>0</v>
      </c>
      <c r="O73" s="531">
        <f t="shared" si="5"/>
        <v>0</v>
      </c>
      <c r="P73" s="278"/>
      <c r="R73" s="243"/>
      <c r="S73" s="243"/>
      <c r="T73" s="243"/>
      <c r="U73" s="243"/>
    </row>
    <row r="74" spans="2:21">
      <c r="C74" s="349" t="s">
        <v>75</v>
      </c>
      <c r="D74" s="294"/>
      <c r="E74" s="294">
        <f>SUM(E17:E73)</f>
        <v>13254470.189999998</v>
      </c>
      <c r="F74" s="294"/>
      <c r="G74" s="294">
        <f>SUM(G17:G73)</f>
        <v>40210023.564999796</v>
      </c>
      <c r="H74" s="294">
        <f>SUM(H17:H73)</f>
        <v>40210023.564999796</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438" t="str">
        <f ca="1">P1</f>
        <v>OKT Project 12 of 23</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2020</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1581979.7861437595</v>
      </c>
      <c r="N88" s="544">
        <f>IF(J93&lt;D11,0,VLOOKUP(J93,C17:O73,11))</f>
        <v>1581979.7861437595</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1727160.6739647929</v>
      </c>
      <c r="N89" s="548">
        <f>IF(J93&lt;D11,0,VLOOKUP(J93,C100:P155,7))</f>
        <v>1727160.6739647929</v>
      </c>
      <c r="O89" s="549">
        <f>+N89-M89</f>
        <v>0</v>
      </c>
      <c r="P89" s="243"/>
      <c r="Q89" s="243"/>
      <c r="R89" s="243"/>
      <c r="S89" s="243"/>
      <c r="T89" s="243"/>
      <c r="U89" s="243"/>
    </row>
    <row r="90" spans="1:21" ht="13.5" thickBot="1">
      <c r="C90" s="454" t="s">
        <v>82</v>
      </c>
      <c r="D90" s="550" t="str">
        <f>+D7</f>
        <v>Darlington-Red Rock 138 kV line</v>
      </c>
      <c r="E90" s="243"/>
      <c r="F90" s="243"/>
      <c r="G90" s="243"/>
      <c r="H90" s="243"/>
      <c r="I90" s="325"/>
      <c r="J90" s="325"/>
      <c r="K90" s="551"/>
      <c r="L90" s="552" t="s">
        <v>135</v>
      </c>
      <c r="M90" s="553">
        <f>+M89-M88</f>
        <v>145180.88782103336</v>
      </c>
      <c r="N90" s="553">
        <f>+N89-N88</f>
        <v>145180.88782103336</v>
      </c>
      <c r="O90" s="554">
        <f>+O89-O88</f>
        <v>0</v>
      </c>
      <c r="P90" s="243"/>
      <c r="Q90" s="243"/>
      <c r="R90" s="243"/>
      <c r="S90" s="243"/>
      <c r="T90" s="243"/>
      <c r="U90" s="243"/>
    </row>
    <row r="91" spans="1:21" ht="13.5" thickBot="1">
      <c r="C91" s="532"/>
      <c r="D91" s="626" t="str">
        <f>IF(D8="","",D8)</f>
        <v>***Sch. 11 recovery commenced in 2015 rate year***</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TP2012112</v>
      </c>
      <c r="E92" s="558"/>
      <c r="F92" s="558"/>
      <c r="G92" s="558"/>
      <c r="H92" s="558"/>
      <c r="I92" s="558"/>
      <c r="J92" s="558"/>
      <c r="K92" s="560"/>
      <c r="P92" s="468"/>
      <c r="Q92" s="243"/>
      <c r="R92" s="243"/>
      <c r="S92" s="243"/>
      <c r="T92" s="243"/>
      <c r="U92" s="243"/>
    </row>
    <row r="93" spans="1:21">
      <c r="C93" s="472" t="s">
        <v>49</v>
      </c>
      <c r="D93" s="622">
        <v>13254470</v>
      </c>
      <c r="E93" s="248" t="s">
        <v>84</v>
      </c>
      <c r="H93" s="408"/>
      <c r="I93" s="408"/>
      <c r="J93" s="471">
        <f>+'OKT.WS.G.BPU.ATRR.True-up'!M16</f>
        <v>2020</v>
      </c>
      <c r="K93" s="467"/>
      <c r="L93" s="294" t="s">
        <v>85</v>
      </c>
      <c r="P93" s="278"/>
      <c r="Q93" s="243"/>
      <c r="R93" s="243"/>
      <c r="S93" s="243"/>
      <c r="T93" s="243"/>
      <c r="U93" s="243"/>
    </row>
    <row r="94" spans="1:21">
      <c r="C94" s="472" t="s">
        <v>52</v>
      </c>
      <c r="D94" s="561">
        <v>2014</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f>D12</f>
        <v>4</v>
      </c>
      <c r="E95" s="472" t="s">
        <v>55</v>
      </c>
      <c r="F95" s="408"/>
      <c r="G95" s="408"/>
      <c r="J95" s="476">
        <f>'OKT.WS.G.BPU.ATRR.True-up'!$F$81</f>
        <v>0.11475877389767174</v>
      </c>
      <c r="K95" s="413"/>
      <c r="L95" s="145" t="s">
        <v>86</v>
      </c>
      <c r="P95" s="278"/>
      <c r="Q95" s="243"/>
      <c r="R95" s="243"/>
      <c r="S95" s="243"/>
      <c r="T95" s="243"/>
      <c r="U95" s="243"/>
    </row>
    <row r="96" spans="1:21">
      <c r="C96" s="472" t="s">
        <v>57</v>
      </c>
      <c r="D96" s="474">
        <f>'OKT.WS.G.BPU.ATRR.True-up'!F$93</f>
        <v>21</v>
      </c>
      <c r="E96" s="472" t="s">
        <v>58</v>
      </c>
      <c r="F96" s="408"/>
      <c r="G96" s="408"/>
      <c r="J96" s="476">
        <f>IF(H88="",J95,'OKT.WS.G.BPU.ATRR.True-up'!$F$80)</f>
        <v>0.11475877389767174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631165.23809523811</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C100" s="495">
        <f>IF(D94= "","-",D94)</f>
        <v>2014</v>
      </c>
      <c r="D100" s="349"/>
      <c r="E100" s="511"/>
      <c r="F100" s="510"/>
      <c r="G100" s="605"/>
      <c r="H100" s="605"/>
      <c r="I100" s="605"/>
      <c r="J100" s="504"/>
      <c r="K100" s="504"/>
      <c r="L100" s="501"/>
      <c r="M100" s="502">
        <f t="shared" ref="M100:M131" si="21">IF(L100&lt;&gt;0,+H100-L100,0)</f>
        <v>0</v>
      </c>
      <c r="N100" s="501"/>
      <c r="O100" s="503">
        <f t="shared" ref="O100:O131" si="22">IF(N100&lt;&gt;0,+I100-N100,0)</f>
        <v>0</v>
      </c>
      <c r="P100" s="503">
        <f t="shared" ref="P100:P131" si="23">+O100-M100</f>
        <v>0</v>
      </c>
      <c r="Q100" s="243"/>
      <c r="R100" s="243"/>
      <c r="S100" s="243"/>
      <c r="T100" s="243"/>
      <c r="U100" s="243"/>
    </row>
    <row r="101" spans="1:21">
      <c r="C101" s="495">
        <f>IF(D94="","-",+C100+1)</f>
        <v>2015</v>
      </c>
      <c r="D101" s="349"/>
      <c r="E101" s="509"/>
      <c r="F101" s="510"/>
      <c r="G101" s="510"/>
      <c r="H101" s="627"/>
      <c r="I101" s="628"/>
      <c r="J101" s="504"/>
      <c r="K101" s="504"/>
      <c r="L101" s="506"/>
      <c r="M101" s="507">
        <f t="shared" si="21"/>
        <v>0</v>
      </c>
      <c r="N101" s="506"/>
      <c r="O101" s="504">
        <f t="shared" si="22"/>
        <v>0</v>
      </c>
      <c r="P101" s="504">
        <f t="shared" si="23"/>
        <v>0</v>
      </c>
      <c r="Q101" s="243"/>
      <c r="R101" s="243"/>
      <c r="S101" s="243"/>
      <c r="T101" s="243"/>
      <c r="U101" s="243"/>
    </row>
    <row r="102" spans="1:21">
      <c r="B102" s="145" t="str">
        <f t="shared" ref="B102:B155" si="24">IF(D102=F101,"","IU")</f>
        <v>IU</v>
      </c>
      <c r="C102" s="495">
        <f>IF(D94="","-",+C101+1)</f>
        <v>2016</v>
      </c>
      <c r="D102" s="496">
        <v>12986963.014521964</v>
      </c>
      <c r="E102" s="498">
        <v>276134.79166666669</v>
      </c>
      <c r="F102" s="505">
        <v>12710828.222855298</v>
      </c>
      <c r="G102" s="505">
        <v>12848895.618688632</v>
      </c>
      <c r="H102" s="498">
        <v>1706594.9989443137</v>
      </c>
      <c r="I102" s="499">
        <v>1706594.9989443137</v>
      </c>
      <c r="J102" s="504">
        <v>0</v>
      </c>
      <c r="K102" s="504"/>
      <c r="L102" s="506">
        <f>H102</f>
        <v>1706594.9989443137</v>
      </c>
      <c r="M102" s="504">
        <f>IF(L102&lt;&gt;0,+H102-L102,0)</f>
        <v>0</v>
      </c>
      <c r="N102" s="506">
        <f>I102</f>
        <v>1706594.9989443137</v>
      </c>
      <c r="O102" s="504">
        <f t="shared" si="22"/>
        <v>0</v>
      </c>
      <c r="P102" s="504">
        <f t="shared" si="23"/>
        <v>0</v>
      </c>
      <c r="Q102" s="243"/>
      <c r="R102" s="243"/>
      <c r="S102" s="243"/>
      <c r="T102" s="243"/>
      <c r="U102" s="243"/>
    </row>
    <row r="103" spans="1:21">
      <c r="B103" s="145" t="str">
        <f t="shared" si="24"/>
        <v>IU</v>
      </c>
      <c r="C103" s="495">
        <f>IF(D94="","-",+C102+1)</f>
        <v>2017</v>
      </c>
      <c r="D103" s="496">
        <v>12978335.208333334</v>
      </c>
      <c r="E103" s="498">
        <v>259891.56862745099</v>
      </c>
      <c r="F103" s="505">
        <v>12718443.639705883</v>
      </c>
      <c r="G103" s="505">
        <v>12848389.424019609</v>
      </c>
      <c r="H103" s="498">
        <v>1652264.5848598198</v>
      </c>
      <c r="I103" s="499">
        <v>1652264.5848598198</v>
      </c>
      <c r="J103" s="504">
        <f>+I103-H103</f>
        <v>0</v>
      </c>
      <c r="K103" s="504"/>
      <c r="L103" s="506">
        <f>H103</f>
        <v>1652264.5848598198</v>
      </c>
      <c r="M103" s="504">
        <f>IF(L103&lt;&gt;0,+H103-L103,0)</f>
        <v>0</v>
      </c>
      <c r="N103" s="506">
        <f>I103</f>
        <v>1652264.5848598198</v>
      </c>
      <c r="O103" s="504">
        <f>IF(N103&lt;&gt;0,+I103-N103,0)</f>
        <v>0</v>
      </c>
      <c r="P103" s="504">
        <f>+O103-M103</f>
        <v>0</v>
      </c>
      <c r="Q103" s="243"/>
      <c r="R103" s="243"/>
      <c r="S103" s="243"/>
      <c r="T103" s="243"/>
      <c r="U103" s="243"/>
    </row>
    <row r="104" spans="1:21">
      <c r="B104" s="145" t="str">
        <f t="shared" si="24"/>
        <v/>
      </c>
      <c r="C104" s="495">
        <f>IF(D94="","-",+C103+1)</f>
        <v>2018</v>
      </c>
      <c r="D104" s="496">
        <v>12718443.639705883</v>
      </c>
      <c r="E104" s="498">
        <v>331361.75</v>
      </c>
      <c r="F104" s="505">
        <v>12387081.889705883</v>
      </c>
      <c r="G104" s="505">
        <v>12552762.764705883</v>
      </c>
      <c r="H104" s="498">
        <v>1804251.0172391555</v>
      </c>
      <c r="I104" s="499">
        <v>1804251.0172391555</v>
      </c>
      <c r="J104" s="504">
        <v>0</v>
      </c>
      <c r="K104" s="504"/>
      <c r="L104" s="506">
        <f>H104</f>
        <v>1804251.0172391555</v>
      </c>
      <c r="M104" s="504">
        <f>IF(L104&lt;&gt;0,+H104-L104,0)</f>
        <v>0</v>
      </c>
      <c r="N104" s="506">
        <f>I104</f>
        <v>1804251.0172391555</v>
      </c>
      <c r="O104" s="504">
        <f>IF(N104&lt;&gt;0,+I104-N104,0)</f>
        <v>0</v>
      </c>
      <c r="P104" s="504">
        <f>+O104-M104</f>
        <v>0</v>
      </c>
      <c r="Q104" s="243"/>
      <c r="R104" s="243"/>
      <c r="S104" s="243"/>
      <c r="T104" s="243"/>
      <c r="U104" s="243"/>
    </row>
    <row r="105" spans="1:21">
      <c r="B105" s="145" t="str">
        <f t="shared" si="24"/>
        <v/>
      </c>
      <c r="C105" s="495">
        <f>IF(D94="","-",+C104+1)</f>
        <v>2019</v>
      </c>
      <c r="D105" s="496">
        <v>12387081.889705883</v>
      </c>
      <c r="E105" s="498">
        <v>368179.72222222225</v>
      </c>
      <c r="F105" s="505">
        <v>12018902.167483661</v>
      </c>
      <c r="G105" s="505">
        <v>12202992.028594773</v>
      </c>
      <c r="H105" s="498">
        <v>1656357.447097271</v>
      </c>
      <c r="I105" s="499">
        <v>1656357.447097271</v>
      </c>
      <c r="J105" s="504">
        <f t="shared" ref="J105:J155" si="25">+I105-H105</f>
        <v>0</v>
      </c>
      <c r="K105" s="504"/>
      <c r="L105" s="506">
        <f>H105</f>
        <v>1656357.447097271</v>
      </c>
      <c r="M105" s="504">
        <f>IF(L105&lt;&gt;0,+H105-L105,0)</f>
        <v>0</v>
      </c>
      <c r="N105" s="506">
        <f>I105</f>
        <v>1656357.447097271</v>
      </c>
      <c r="O105" s="504">
        <f>IF(N105&lt;&gt;0,+I105-N105,0)</f>
        <v>0</v>
      </c>
      <c r="P105" s="504">
        <f>+O105-M105</f>
        <v>0</v>
      </c>
      <c r="Q105" s="243"/>
      <c r="R105" s="243"/>
      <c r="S105" s="243"/>
      <c r="T105" s="243"/>
      <c r="U105" s="243"/>
    </row>
    <row r="106" spans="1:21">
      <c r="B106" s="145" t="str">
        <f t="shared" si="24"/>
        <v/>
      </c>
      <c r="C106" s="495">
        <f>IF(D94="","-",+C105+1)</f>
        <v>2020</v>
      </c>
      <c r="D106" s="496">
        <v>12018902.167483661</v>
      </c>
      <c r="E106" s="498">
        <v>473373.92857142858</v>
      </c>
      <c r="F106" s="505">
        <v>11545528.238912232</v>
      </c>
      <c r="G106" s="505">
        <v>11782215.203197947</v>
      </c>
      <c r="H106" s="498">
        <v>1727160.6739647929</v>
      </c>
      <c r="I106" s="499">
        <v>1727160.6739647929</v>
      </c>
      <c r="J106" s="504">
        <f t="shared" si="25"/>
        <v>0</v>
      </c>
      <c r="K106" s="504"/>
      <c r="L106" s="506">
        <f>H106</f>
        <v>1727160.6739647929</v>
      </c>
      <c r="M106" s="504">
        <f>IF(L106&lt;&gt;0,+H106-L106,0)</f>
        <v>0</v>
      </c>
      <c r="N106" s="506">
        <f>I106</f>
        <v>1727160.6739647929</v>
      </c>
      <c r="O106" s="504">
        <f t="shared" si="22"/>
        <v>0</v>
      </c>
      <c r="P106" s="504">
        <f t="shared" si="23"/>
        <v>0</v>
      </c>
      <c r="Q106" s="243"/>
      <c r="R106" s="243"/>
      <c r="S106" s="243"/>
      <c r="T106" s="243"/>
      <c r="U106" s="243"/>
    </row>
    <row r="107" spans="1:21">
      <c r="B107" s="145" t="str">
        <f t="shared" si="24"/>
        <v/>
      </c>
      <c r="C107" s="495">
        <f>IF(D94="","-",+C106+1)</f>
        <v>2021</v>
      </c>
      <c r="D107" s="349">
        <f>IF(F106+SUM(E$100:E106)=D$93,F106,D$93-SUM(E$100:E106))</f>
        <v>11545528.238912232</v>
      </c>
      <c r="E107" s="629">
        <f t="shared" ref="E107:E155" si="26">IF(+$J$97&lt;F106,$J$97,D107)</f>
        <v>631165.23809523811</v>
      </c>
      <c r="F107" s="510">
        <f t="shared" ref="F107:F155" si="27">+D107-E107</f>
        <v>10914363.000816993</v>
      </c>
      <c r="G107" s="510">
        <f t="shared" ref="G107:G155" si="28">+(F107+D107)/2</f>
        <v>11229945.619864613</v>
      </c>
      <c r="H107" s="630">
        <f t="shared" ref="H107:H155" si="29">+J$95*G107+E107</f>
        <v>1919900.0283684302</v>
      </c>
      <c r="I107" s="631">
        <f t="shared" ref="I107:I155" si="30">+J$96*G107+E107</f>
        <v>1919900.0283684302</v>
      </c>
      <c r="J107" s="504">
        <f t="shared" si="25"/>
        <v>0</v>
      </c>
      <c r="K107" s="504"/>
      <c r="L107" s="512"/>
      <c r="M107" s="504">
        <f t="shared" si="21"/>
        <v>0</v>
      </c>
      <c r="N107" s="512"/>
      <c r="O107" s="504">
        <f t="shared" si="22"/>
        <v>0</v>
      </c>
      <c r="P107" s="504">
        <f t="shared" si="23"/>
        <v>0</v>
      </c>
      <c r="Q107" s="243"/>
      <c r="R107" s="243"/>
      <c r="S107" s="243"/>
      <c r="T107" s="243"/>
      <c r="U107" s="243"/>
    </row>
    <row r="108" spans="1:21">
      <c r="B108" s="145" t="str">
        <f t="shared" si="24"/>
        <v/>
      </c>
      <c r="C108" s="495">
        <f>IF(D94="","-",+C107+1)</f>
        <v>2022</v>
      </c>
      <c r="D108" s="349">
        <f>IF(F107+SUM(E$100:E107)=D$93,F107,D$93-SUM(E$100:E107))</f>
        <v>10914363.000816993</v>
      </c>
      <c r="E108" s="629">
        <f t="shared" si="26"/>
        <v>631165.23809523811</v>
      </c>
      <c r="F108" s="510">
        <f t="shared" si="27"/>
        <v>10283197.762721755</v>
      </c>
      <c r="G108" s="510">
        <f t="shared" si="28"/>
        <v>10598780.381769374</v>
      </c>
      <c r="H108" s="630">
        <f t="shared" si="29"/>
        <v>1847468.2795177887</v>
      </c>
      <c r="I108" s="631">
        <f t="shared" si="30"/>
        <v>1847468.2795177887</v>
      </c>
      <c r="J108" s="504">
        <f t="shared" si="25"/>
        <v>0</v>
      </c>
      <c r="K108" s="504"/>
      <c r="L108" s="512"/>
      <c r="M108" s="504">
        <f t="shared" si="21"/>
        <v>0</v>
      </c>
      <c r="N108" s="512"/>
      <c r="O108" s="504">
        <f t="shared" si="22"/>
        <v>0</v>
      </c>
      <c r="P108" s="504">
        <f t="shared" si="23"/>
        <v>0</v>
      </c>
      <c r="Q108" s="243"/>
      <c r="R108" s="243"/>
      <c r="S108" s="243"/>
      <c r="T108" s="243"/>
      <c r="U108" s="243"/>
    </row>
    <row r="109" spans="1:21">
      <c r="B109" s="145" t="str">
        <f t="shared" si="24"/>
        <v/>
      </c>
      <c r="C109" s="495">
        <f>IF(D94="","-",+C108+1)</f>
        <v>2023</v>
      </c>
      <c r="D109" s="349">
        <f>IF(F108+SUM(E$100:E108)=D$93,F108,D$93-SUM(E$100:E108))</f>
        <v>10283197.762721755</v>
      </c>
      <c r="E109" s="629">
        <f t="shared" si="26"/>
        <v>631165.23809523811</v>
      </c>
      <c r="F109" s="510">
        <f t="shared" si="27"/>
        <v>9652032.5246265158</v>
      </c>
      <c r="G109" s="510">
        <f t="shared" si="28"/>
        <v>9967615.1436741352</v>
      </c>
      <c r="H109" s="630">
        <f t="shared" si="29"/>
        <v>1775036.5306671469</v>
      </c>
      <c r="I109" s="631">
        <f t="shared" si="30"/>
        <v>1775036.5306671469</v>
      </c>
      <c r="J109" s="504">
        <f t="shared" si="25"/>
        <v>0</v>
      </c>
      <c r="K109" s="504"/>
      <c r="L109" s="512"/>
      <c r="M109" s="504">
        <f t="shared" si="21"/>
        <v>0</v>
      </c>
      <c r="N109" s="512"/>
      <c r="O109" s="504">
        <f t="shared" si="22"/>
        <v>0</v>
      </c>
      <c r="P109" s="504">
        <f t="shared" si="23"/>
        <v>0</v>
      </c>
      <c r="Q109" s="243"/>
      <c r="R109" s="243"/>
      <c r="S109" s="243"/>
      <c r="T109" s="243"/>
      <c r="U109" s="243"/>
    </row>
    <row r="110" spans="1:21">
      <c r="B110" s="145" t="str">
        <f t="shared" si="24"/>
        <v/>
      </c>
      <c r="C110" s="495">
        <f>IF(D94="","-",+C109+1)</f>
        <v>2024</v>
      </c>
      <c r="D110" s="349">
        <f>IF(F109+SUM(E$100:E109)=D$93,F109,D$93-SUM(E$100:E109))</f>
        <v>9652032.5246265158</v>
      </c>
      <c r="E110" s="629">
        <f t="shared" si="26"/>
        <v>631165.23809523811</v>
      </c>
      <c r="F110" s="510">
        <f t="shared" si="27"/>
        <v>9020867.286531277</v>
      </c>
      <c r="G110" s="510">
        <f t="shared" si="28"/>
        <v>9336449.9055788964</v>
      </c>
      <c r="H110" s="630">
        <f t="shared" si="29"/>
        <v>1702604.7818165054</v>
      </c>
      <c r="I110" s="631">
        <f t="shared" si="30"/>
        <v>1702604.7818165054</v>
      </c>
      <c r="J110" s="504">
        <f t="shared" si="25"/>
        <v>0</v>
      </c>
      <c r="K110" s="504"/>
      <c r="L110" s="512"/>
      <c r="M110" s="504">
        <f t="shared" si="21"/>
        <v>0</v>
      </c>
      <c r="N110" s="512"/>
      <c r="O110" s="504">
        <f t="shared" si="22"/>
        <v>0</v>
      </c>
      <c r="P110" s="504">
        <f t="shared" si="23"/>
        <v>0</v>
      </c>
      <c r="Q110" s="243"/>
      <c r="R110" s="243"/>
      <c r="S110" s="243"/>
      <c r="T110" s="243"/>
      <c r="U110" s="243"/>
    </row>
    <row r="111" spans="1:21">
      <c r="B111" s="145" t="str">
        <f t="shared" si="24"/>
        <v/>
      </c>
      <c r="C111" s="495">
        <f>IF(D94="","-",+C110+1)</f>
        <v>2025</v>
      </c>
      <c r="D111" s="349">
        <f>IF(F110+SUM(E$100:E110)=D$93,F110,D$93-SUM(E$100:E110))</f>
        <v>9020867.286531277</v>
      </c>
      <c r="E111" s="629">
        <f t="shared" si="26"/>
        <v>631165.23809523811</v>
      </c>
      <c r="F111" s="510">
        <f t="shared" si="27"/>
        <v>8389702.0484360382</v>
      </c>
      <c r="G111" s="510">
        <f t="shared" si="28"/>
        <v>8705284.6674836576</v>
      </c>
      <c r="H111" s="630">
        <f t="shared" si="29"/>
        <v>1630173.0329658636</v>
      </c>
      <c r="I111" s="631">
        <f t="shared" si="30"/>
        <v>1630173.0329658636</v>
      </c>
      <c r="J111" s="504">
        <f t="shared" si="25"/>
        <v>0</v>
      </c>
      <c r="K111" s="504"/>
      <c r="L111" s="512"/>
      <c r="M111" s="504">
        <f t="shared" si="21"/>
        <v>0</v>
      </c>
      <c r="N111" s="512"/>
      <c r="O111" s="504">
        <f t="shared" si="22"/>
        <v>0</v>
      </c>
      <c r="P111" s="504">
        <f t="shared" si="23"/>
        <v>0</v>
      </c>
      <c r="Q111" s="243"/>
      <c r="R111" s="243"/>
      <c r="S111" s="243"/>
      <c r="T111" s="243"/>
      <c r="U111" s="243"/>
    </row>
    <row r="112" spans="1:21">
      <c r="B112" s="145" t="str">
        <f t="shared" si="24"/>
        <v/>
      </c>
      <c r="C112" s="495">
        <f>IF(D94="","-",+C111+1)</f>
        <v>2026</v>
      </c>
      <c r="D112" s="349">
        <f>IF(F111+SUM(E$100:E111)=D$93,F111,D$93-SUM(E$100:E111))</f>
        <v>8389702.0484360382</v>
      </c>
      <c r="E112" s="629">
        <f t="shared" si="26"/>
        <v>631165.23809523811</v>
      </c>
      <c r="F112" s="510">
        <f t="shared" si="27"/>
        <v>7758536.8103408003</v>
      </c>
      <c r="G112" s="510">
        <f t="shared" si="28"/>
        <v>8074119.4293884188</v>
      </c>
      <c r="H112" s="630">
        <f t="shared" si="29"/>
        <v>1557741.284115222</v>
      </c>
      <c r="I112" s="631">
        <f t="shared" si="30"/>
        <v>1557741.284115222</v>
      </c>
      <c r="J112" s="504">
        <f t="shared" si="25"/>
        <v>0</v>
      </c>
      <c r="K112" s="504"/>
      <c r="L112" s="512"/>
      <c r="M112" s="504">
        <f t="shared" si="21"/>
        <v>0</v>
      </c>
      <c r="N112" s="512"/>
      <c r="O112" s="504">
        <f t="shared" si="22"/>
        <v>0</v>
      </c>
      <c r="P112" s="504">
        <f t="shared" si="23"/>
        <v>0</v>
      </c>
      <c r="Q112" s="243"/>
      <c r="R112" s="243"/>
      <c r="S112" s="243"/>
      <c r="T112" s="243"/>
      <c r="U112" s="243"/>
    </row>
    <row r="113" spans="2:21">
      <c r="B113" s="145" t="str">
        <f t="shared" si="24"/>
        <v/>
      </c>
      <c r="C113" s="495">
        <f>IF(D94="","-",+C112+1)</f>
        <v>2027</v>
      </c>
      <c r="D113" s="349">
        <f>IF(F112+SUM(E$100:E112)=D$93,F112,D$93-SUM(E$100:E112))</f>
        <v>7758536.8103408003</v>
      </c>
      <c r="E113" s="629">
        <f t="shared" si="26"/>
        <v>631165.23809523811</v>
      </c>
      <c r="F113" s="510">
        <f t="shared" si="27"/>
        <v>7127371.5722455624</v>
      </c>
      <c r="G113" s="510">
        <f t="shared" si="28"/>
        <v>7442954.1912931819</v>
      </c>
      <c r="H113" s="630">
        <f t="shared" si="29"/>
        <v>1485309.5352645805</v>
      </c>
      <c r="I113" s="631">
        <f t="shared" si="30"/>
        <v>1485309.5352645805</v>
      </c>
      <c r="J113" s="504">
        <f t="shared" si="25"/>
        <v>0</v>
      </c>
      <c r="K113" s="504"/>
      <c r="L113" s="512"/>
      <c r="M113" s="504">
        <f t="shared" si="21"/>
        <v>0</v>
      </c>
      <c r="N113" s="512"/>
      <c r="O113" s="504">
        <f t="shared" si="22"/>
        <v>0</v>
      </c>
      <c r="P113" s="504">
        <f t="shared" si="23"/>
        <v>0</v>
      </c>
      <c r="Q113" s="243"/>
      <c r="R113" s="243"/>
      <c r="S113" s="243"/>
      <c r="T113" s="243"/>
      <c r="U113" s="243"/>
    </row>
    <row r="114" spans="2:21">
      <c r="B114" s="145" t="str">
        <f t="shared" si="24"/>
        <v/>
      </c>
      <c r="C114" s="495">
        <f>IF(D94="","-",+C113+1)</f>
        <v>2028</v>
      </c>
      <c r="D114" s="349">
        <f>IF(F113+SUM(E$100:E113)=D$93,F113,D$93-SUM(E$100:E113))</f>
        <v>7127371.5722455624</v>
      </c>
      <c r="E114" s="629">
        <f t="shared" si="26"/>
        <v>631165.23809523811</v>
      </c>
      <c r="F114" s="510">
        <f t="shared" si="27"/>
        <v>6496206.3341503246</v>
      </c>
      <c r="G114" s="510">
        <f t="shared" si="28"/>
        <v>6811788.953197943</v>
      </c>
      <c r="H114" s="630">
        <f t="shared" si="29"/>
        <v>1412877.7864139387</v>
      </c>
      <c r="I114" s="631">
        <f t="shared" si="30"/>
        <v>1412877.7864139387</v>
      </c>
      <c r="J114" s="504">
        <f t="shared" si="25"/>
        <v>0</v>
      </c>
      <c r="K114" s="504"/>
      <c r="L114" s="512"/>
      <c r="M114" s="504">
        <f t="shared" si="21"/>
        <v>0</v>
      </c>
      <c r="N114" s="512"/>
      <c r="O114" s="504">
        <f t="shared" si="22"/>
        <v>0</v>
      </c>
      <c r="P114" s="504">
        <f t="shared" si="23"/>
        <v>0</v>
      </c>
      <c r="Q114" s="243"/>
      <c r="R114" s="243"/>
      <c r="S114" s="243"/>
      <c r="T114" s="243"/>
      <c r="U114" s="243"/>
    </row>
    <row r="115" spans="2:21">
      <c r="B115" s="145" t="str">
        <f t="shared" si="24"/>
        <v/>
      </c>
      <c r="C115" s="495">
        <f>IF(D94="","-",+C114+1)</f>
        <v>2029</v>
      </c>
      <c r="D115" s="349">
        <f>IF(F114+SUM(E$100:E114)=D$93,F114,D$93-SUM(E$100:E114))</f>
        <v>6496206.3341503246</v>
      </c>
      <c r="E115" s="629">
        <f t="shared" si="26"/>
        <v>631165.23809523811</v>
      </c>
      <c r="F115" s="510">
        <f t="shared" si="27"/>
        <v>5865041.0960550867</v>
      </c>
      <c r="G115" s="510">
        <f t="shared" si="28"/>
        <v>6180623.7151027061</v>
      </c>
      <c r="H115" s="630">
        <f t="shared" si="29"/>
        <v>1340446.0375632974</v>
      </c>
      <c r="I115" s="631">
        <f t="shared" si="30"/>
        <v>1340446.0375632974</v>
      </c>
      <c r="J115" s="504">
        <f t="shared" si="25"/>
        <v>0</v>
      </c>
      <c r="K115" s="504"/>
      <c r="L115" s="512"/>
      <c r="M115" s="504">
        <f t="shared" si="21"/>
        <v>0</v>
      </c>
      <c r="N115" s="512"/>
      <c r="O115" s="504">
        <f t="shared" si="22"/>
        <v>0</v>
      </c>
      <c r="P115" s="504">
        <f t="shared" si="23"/>
        <v>0</v>
      </c>
      <c r="Q115" s="243"/>
      <c r="R115" s="243"/>
      <c r="S115" s="243"/>
      <c r="T115" s="243"/>
      <c r="U115" s="243"/>
    </row>
    <row r="116" spans="2:21">
      <c r="B116" s="145" t="str">
        <f t="shared" si="24"/>
        <v/>
      </c>
      <c r="C116" s="495">
        <f>IF(D94="","-",+C115+1)</f>
        <v>2030</v>
      </c>
      <c r="D116" s="349">
        <f>IF(F115+SUM(E$100:E115)=D$93,F115,D$93-SUM(E$100:E115))</f>
        <v>5865041.0960550867</v>
      </c>
      <c r="E116" s="629">
        <f t="shared" si="26"/>
        <v>631165.23809523811</v>
      </c>
      <c r="F116" s="510">
        <f t="shared" si="27"/>
        <v>5233875.8579598488</v>
      </c>
      <c r="G116" s="510">
        <f t="shared" si="28"/>
        <v>5549458.4770074673</v>
      </c>
      <c r="H116" s="630">
        <f t="shared" si="29"/>
        <v>1268014.2887126557</v>
      </c>
      <c r="I116" s="631">
        <f t="shared" si="30"/>
        <v>1268014.2887126557</v>
      </c>
      <c r="J116" s="504">
        <f t="shared" si="25"/>
        <v>0</v>
      </c>
      <c r="K116" s="504"/>
      <c r="L116" s="512"/>
      <c r="M116" s="504">
        <f t="shared" si="21"/>
        <v>0</v>
      </c>
      <c r="N116" s="512"/>
      <c r="O116" s="504">
        <f t="shared" si="22"/>
        <v>0</v>
      </c>
      <c r="P116" s="504">
        <f t="shared" si="23"/>
        <v>0</v>
      </c>
      <c r="Q116" s="243"/>
      <c r="R116" s="243"/>
      <c r="S116" s="243"/>
      <c r="T116" s="243"/>
      <c r="U116" s="243"/>
    </row>
    <row r="117" spans="2:21">
      <c r="B117" s="145" t="str">
        <f t="shared" si="24"/>
        <v/>
      </c>
      <c r="C117" s="495">
        <f>IF(D94="","-",+C116+1)</f>
        <v>2031</v>
      </c>
      <c r="D117" s="349">
        <f>IF(F116+SUM(E$100:E116)=D$93,F116,D$93-SUM(E$100:E116))</f>
        <v>5233875.8579598488</v>
      </c>
      <c r="E117" s="629">
        <f t="shared" si="26"/>
        <v>631165.23809523811</v>
      </c>
      <c r="F117" s="510">
        <f t="shared" si="27"/>
        <v>4602710.619864611</v>
      </c>
      <c r="G117" s="510">
        <f t="shared" si="28"/>
        <v>4918293.2389122304</v>
      </c>
      <c r="H117" s="630">
        <f t="shared" si="29"/>
        <v>1195582.5398620144</v>
      </c>
      <c r="I117" s="631">
        <f t="shared" si="30"/>
        <v>1195582.5398620144</v>
      </c>
      <c r="J117" s="504">
        <f t="shared" si="25"/>
        <v>0</v>
      </c>
      <c r="K117" s="504"/>
      <c r="L117" s="512"/>
      <c r="M117" s="504">
        <f t="shared" si="21"/>
        <v>0</v>
      </c>
      <c r="N117" s="512"/>
      <c r="O117" s="504">
        <f t="shared" si="22"/>
        <v>0</v>
      </c>
      <c r="P117" s="504">
        <f t="shared" si="23"/>
        <v>0</v>
      </c>
      <c r="Q117" s="243"/>
      <c r="R117" s="243"/>
      <c r="S117" s="243"/>
      <c r="T117" s="243"/>
      <c r="U117" s="243"/>
    </row>
    <row r="118" spans="2:21">
      <c r="B118" s="145" t="str">
        <f t="shared" si="24"/>
        <v/>
      </c>
      <c r="C118" s="495">
        <f>IF(D94="","-",+C117+1)</f>
        <v>2032</v>
      </c>
      <c r="D118" s="349">
        <f>IF(F117+SUM(E$100:E117)=D$93,F117,D$93-SUM(E$100:E117))</f>
        <v>4602710.619864611</v>
      </c>
      <c r="E118" s="629">
        <f t="shared" si="26"/>
        <v>631165.23809523811</v>
      </c>
      <c r="F118" s="510">
        <f t="shared" si="27"/>
        <v>3971545.3817693731</v>
      </c>
      <c r="G118" s="510">
        <f t="shared" si="28"/>
        <v>4287128.0008169916</v>
      </c>
      <c r="H118" s="630">
        <f t="shared" si="29"/>
        <v>1123150.7910113726</v>
      </c>
      <c r="I118" s="631">
        <f t="shared" si="30"/>
        <v>1123150.7910113726</v>
      </c>
      <c r="J118" s="504">
        <f t="shared" si="25"/>
        <v>0</v>
      </c>
      <c r="K118" s="504"/>
      <c r="L118" s="512"/>
      <c r="M118" s="504">
        <f t="shared" si="21"/>
        <v>0</v>
      </c>
      <c r="N118" s="512"/>
      <c r="O118" s="504">
        <f t="shared" si="22"/>
        <v>0</v>
      </c>
      <c r="P118" s="504">
        <f t="shared" si="23"/>
        <v>0</v>
      </c>
      <c r="Q118" s="243"/>
      <c r="R118" s="243"/>
      <c r="S118" s="243"/>
      <c r="T118" s="243"/>
      <c r="U118" s="243"/>
    </row>
    <row r="119" spans="2:21">
      <c r="B119" s="145" t="str">
        <f t="shared" si="24"/>
        <v/>
      </c>
      <c r="C119" s="495">
        <f>IF(D94="","-",+C118+1)</f>
        <v>2033</v>
      </c>
      <c r="D119" s="349">
        <f>IF(F118+SUM(E$100:E118)=D$93,F118,D$93-SUM(E$100:E118))</f>
        <v>3971545.3817693731</v>
      </c>
      <c r="E119" s="629">
        <f t="shared" si="26"/>
        <v>631165.23809523811</v>
      </c>
      <c r="F119" s="510">
        <f t="shared" si="27"/>
        <v>3340380.1436741352</v>
      </c>
      <c r="G119" s="510">
        <f t="shared" si="28"/>
        <v>3655962.7627217541</v>
      </c>
      <c r="H119" s="630">
        <f t="shared" si="29"/>
        <v>1050719.0421607313</v>
      </c>
      <c r="I119" s="631">
        <f t="shared" si="30"/>
        <v>1050719.0421607313</v>
      </c>
      <c r="J119" s="504">
        <f t="shared" si="25"/>
        <v>0</v>
      </c>
      <c r="K119" s="504"/>
      <c r="L119" s="512"/>
      <c r="M119" s="504">
        <f t="shared" si="21"/>
        <v>0</v>
      </c>
      <c r="N119" s="512"/>
      <c r="O119" s="504">
        <f t="shared" si="22"/>
        <v>0</v>
      </c>
      <c r="P119" s="504">
        <f t="shared" si="23"/>
        <v>0</v>
      </c>
      <c r="Q119" s="243"/>
      <c r="R119" s="243"/>
      <c r="S119" s="243"/>
      <c r="T119" s="243"/>
      <c r="U119" s="243"/>
    </row>
    <row r="120" spans="2:21">
      <c r="B120" s="145" t="str">
        <f t="shared" si="24"/>
        <v/>
      </c>
      <c r="C120" s="495">
        <f>IF(D94="","-",+C119+1)</f>
        <v>2034</v>
      </c>
      <c r="D120" s="349">
        <f>IF(F119+SUM(E$100:E119)=D$93,F119,D$93-SUM(E$100:E119))</f>
        <v>3340380.1436741352</v>
      </c>
      <c r="E120" s="629">
        <f t="shared" si="26"/>
        <v>631165.23809523811</v>
      </c>
      <c r="F120" s="510">
        <f t="shared" si="27"/>
        <v>2709214.9055788973</v>
      </c>
      <c r="G120" s="510">
        <f t="shared" si="28"/>
        <v>3024797.5246265163</v>
      </c>
      <c r="H120" s="630">
        <f t="shared" si="29"/>
        <v>978287.29331008962</v>
      </c>
      <c r="I120" s="631">
        <f t="shared" si="30"/>
        <v>978287.29331008962</v>
      </c>
      <c r="J120" s="504">
        <f t="shared" si="25"/>
        <v>0</v>
      </c>
      <c r="K120" s="504"/>
      <c r="L120" s="512"/>
      <c r="M120" s="504">
        <f t="shared" si="21"/>
        <v>0</v>
      </c>
      <c r="N120" s="512"/>
      <c r="O120" s="504">
        <f t="shared" si="22"/>
        <v>0</v>
      </c>
      <c r="P120" s="504">
        <f t="shared" si="23"/>
        <v>0</v>
      </c>
      <c r="Q120" s="243"/>
      <c r="R120" s="243"/>
      <c r="S120" s="243"/>
      <c r="T120" s="243"/>
      <c r="U120" s="243"/>
    </row>
    <row r="121" spans="2:21">
      <c r="B121" s="145" t="str">
        <f t="shared" si="24"/>
        <v/>
      </c>
      <c r="C121" s="495">
        <f>IF(D94="","-",+C120+1)</f>
        <v>2035</v>
      </c>
      <c r="D121" s="349">
        <f>IF(F120+SUM(E$100:E120)=D$93,F120,D$93-SUM(E$100:E120))</f>
        <v>2709214.9055788973</v>
      </c>
      <c r="E121" s="629">
        <f t="shared" si="26"/>
        <v>631165.23809523811</v>
      </c>
      <c r="F121" s="510">
        <f t="shared" si="27"/>
        <v>2078049.6674836592</v>
      </c>
      <c r="G121" s="510">
        <f t="shared" si="28"/>
        <v>2393632.2865312784</v>
      </c>
      <c r="H121" s="630">
        <f t="shared" si="29"/>
        <v>905855.54445944808</v>
      </c>
      <c r="I121" s="631">
        <f t="shared" si="30"/>
        <v>905855.54445944808</v>
      </c>
      <c r="J121" s="504">
        <f t="shared" si="25"/>
        <v>0</v>
      </c>
      <c r="K121" s="504"/>
      <c r="L121" s="512"/>
      <c r="M121" s="504">
        <f t="shared" si="21"/>
        <v>0</v>
      </c>
      <c r="N121" s="512"/>
      <c r="O121" s="504">
        <f t="shared" si="22"/>
        <v>0</v>
      </c>
      <c r="P121" s="504">
        <f t="shared" si="23"/>
        <v>0</v>
      </c>
      <c r="Q121" s="243"/>
      <c r="R121" s="243"/>
      <c r="S121" s="243"/>
      <c r="T121" s="243"/>
      <c r="U121" s="243"/>
    </row>
    <row r="122" spans="2:21">
      <c r="B122" s="145" t="str">
        <f t="shared" si="24"/>
        <v/>
      </c>
      <c r="C122" s="495">
        <f>IF(D94="","-",+C121+1)</f>
        <v>2036</v>
      </c>
      <c r="D122" s="349">
        <f>IF(F121+SUM(E$100:E121)=D$93,F121,D$93-SUM(E$100:E121))</f>
        <v>2078049.6674836592</v>
      </c>
      <c r="E122" s="629">
        <f t="shared" si="26"/>
        <v>631165.23809523811</v>
      </c>
      <c r="F122" s="510">
        <f t="shared" si="27"/>
        <v>1446884.4293884211</v>
      </c>
      <c r="G122" s="510">
        <f t="shared" si="28"/>
        <v>1762467.0484360401</v>
      </c>
      <c r="H122" s="630">
        <f t="shared" si="29"/>
        <v>833423.79560880642</v>
      </c>
      <c r="I122" s="631">
        <f t="shared" si="30"/>
        <v>833423.79560880642</v>
      </c>
      <c r="J122" s="504">
        <f t="shared" si="25"/>
        <v>0</v>
      </c>
      <c r="K122" s="504"/>
      <c r="L122" s="512"/>
      <c r="M122" s="504">
        <f t="shared" si="21"/>
        <v>0</v>
      </c>
      <c r="N122" s="512"/>
      <c r="O122" s="504">
        <f t="shared" si="22"/>
        <v>0</v>
      </c>
      <c r="P122" s="504">
        <f t="shared" si="23"/>
        <v>0</v>
      </c>
      <c r="Q122" s="243"/>
      <c r="R122" s="243"/>
      <c r="S122" s="243"/>
      <c r="T122" s="243"/>
      <c r="U122" s="243"/>
    </row>
    <row r="123" spans="2:21">
      <c r="B123" s="145" t="str">
        <f t="shared" si="24"/>
        <v/>
      </c>
      <c r="C123" s="495">
        <f>IF(D94="","-",+C122+1)</f>
        <v>2037</v>
      </c>
      <c r="D123" s="349">
        <f>IF(F122+SUM(E$100:E122)=D$93,F122,D$93-SUM(E$100:E122))</f>
        <v>1446884.4293884211</v>
      </c>
      <c r="E123" s="629">
        <f t="shared" si="26"/>
        <v>631165.23809523811</v>
      </c>
      <c r="F123" s="510">
        <f t="shared" si="27"/>
        <v>815719.19129318302</v>
      </c>
      <c r="G123" s="510">
        <f t="shared" si="28"/>
        <v>1131301.8103408022</v>
      </c>
      <c r="H123" s="630">
        <f t="shared" si="29"/>
        <v>760992.04675816488</v>
      </c>
      <c r="I123" s="631">
        <f t="shared" si="30"/>
        <v>760992.04675816488</v>
      </c>
      <c r="J123" s="504">
        <f t="shared" si="25"/>
        <v>0</v>
      </c>
      <c r="K123" s="504"/>
      <c r="L123" s="512"/>
      <c r="M123" s="504">
        <f t="shared" si="21"/>
        <v>0</v>
      </c>
      <c r="N123" s="512"/>
      <c r="O123" s="504">
        <f t="shared" si="22"/>
        <v>0</v>
      </c>
      <c r="P123" s="504">
        <f t="shared" si="23"/>
        <v>0</v>
      </c>
      <c r="Q123" s="243"/>
      <c r="R123" s="243"/>
      <c r="S123" s="243"/>
      <c r="T123" s="243"/>
      <c r="U123" s="243"/>
    </row>
    <row r="124" spans="2:21">
      <c r="B124" s="145" t="str">
        <f t="shared" si="24"/>
        <v/>
      </c>
      <c r="C124" s="495">
        <f>IF(D94="","-",+C123+1)</f>
        <v>2038</v>
      </c>
      <c r="D124" s="349">
        <f>IF(F123+SUM(E$100:E123)=D$93,F123,D$93-SUM(E$100:E123))</f>
        <v>815719.19129318302</v>
      </c>
      <c r="E124" s="629">
        <f t="shared" si="26"/>
        <v>631165.23809523811</v>
      </c>
      <c r="F124" s="510">
        <f t="shared" si="27"/>
        <v>184553.95319794491</v>
      </c>
      <c r="G124" s="510">
        <f t="shared" si="28"/>
        <v>500136.57224556396</v>
      </c>
      <c r="H124" s="630">
        <f t="shared" si="29"/>
        <v>688560.29790752335</v>
      </c>
      <c r="I124" s="631">
        <f t="shared" si="30"/>
        <v>688560.29790752335</v>
      </c>
      <c r="J124" s="504">
        <f t="shared" si="25"/>
        <v>0</v>
      </c>
      <c r="K124" s="504"/>
      <c r="L124" s="512"/>
      <c r="M124" s="504">
        <f t="shared" si="21"/>
        <v>0</v>
      </c>
      <c r="N124" s="512"/>
      <c r="O124" s="504">
        <f t="shared" si="22"/>
        <v>0</v>
      </c>
      <c r="P124" s="504">
        <f t="shared" si="23"/>
        <v>0</v>
      </c>
      <c r="Q124" s="243"/>
      <c r="R124" s="243"/>
      <c r="S124" s="243"/>
      <c r="T124" s="243"/>
      <c r="U124" s="243"/>
    </row>
    <row r="125" spans="2:21">
      <c r="B125" s="145" t="str">
        <f t="shared" si="24"/>
        <v/>
      </c>
      <c r="C125" s="495">
        <f>IF(D94="","-",+C124+1)</f>
        <v>2039</v>
      </c>
      <c r="D125" s="349">
        <f>IF(F124+SUM(E$100:E124)=D$93,F124,D$93-SUM(E$100:E124))</f>
        <v>184553.95319794491</v>
      </c>
      <c r="E125" s="629">
        <f t="shared" si="26"/>
        <v>184553.95319794491</v>
      </c>
      <c r="F125" s="510">
        <f t="shared" si="27"/>
        <v>0</v>
      </c>
      <c r="G125" s="510">
        <f t="shared" si="28"/>
        <v>92276.976598972455</v>
      </c>
      <c r="H125" s="630">
        <f t="shared" si="29"/>
        <v>195143.54589142714</v>
      </c>
      <c r="I125" s="631">
        <f t="shared" si="30"/>
        <v>195143.54589142714</v>
      </c>
      <c r="J125" s="504">
        <f t="shared" si="25"/>
        <v>0</v>
      </c>
      <c r="K125" s="504"/>
      <c r="L125" s="512"/>
      <c r="M125" s="504">
        <f t="shared" si="21"/>
        <v>0</v>
      </c>
      <c r="N125" s="512"/>
      <c r="O125" s="504">
        <f t="shared" si="22"/>
        <v>0</v>
      </c>
      <c r="P125" s="504">
        <f t="shared" si="23"/>
        <v>0</v>
      </c>
      <c r="Q125" s="243"/>
      <c r="R125" s="243"/>
      <c r="S125" s="243"/>
      <c r="T125" s="243"/>
      <c r="U125" s="243"/>
    </row>
    <row r="126" spans="2:21">
      <c r="B126" s="145" t="str">
        <f t="shared" si="24"/>
        <v/>
      </c>
      <c r="C126" s="495">
        <f>IF(D94="","-",+C125+1)</f>
        <v>2040</v>
      </c>
      <c r="D126" s="349">
        <f>IF(F125+SUM(E$100:E125)=D$93,F125,D$93-SUM(E$100:E125))</f>
        <v>0</v>
      </c>
      <c r="E126" s="629">
        <f t="shared" si="26"/>
        <v>0</v>
      </c>
      <c r="F126" s="510">
        <f t="shared" si="27"/>
        <v>0</v>
      </c>
      <c r="G126" s="510">
        <f t="shared" si="28"/>
        <v>0</v>
      </c>
      <c r="H126" s="630">
        <f t="shared" si="29"/>
        <v>0</v>
      </c>
      <c r="I126" s="631">
        <f t="shared" si="30"/>
        <v>0</v>
      </c>
      <c r="J126" s="504">
        <f t="shared" si="25"/>
        <v>0</v>
      </c>
      <c r="K126" s="504"/>
      <c r="L126" s="512"/>
      <c r="M126" s="504">
        <f t="shared" si="21"/>
        <v>0</v>
      </c>
      <c r="N126" s="512"/>
      <c r="O126" s="504">
        <f t="shared" si="22"/>
        <v>0</v>
      </c>
      <c r="P126" s="504">
        <f t="shared" si="23"/>
        <v>0</v>
      </c>
      <c r="Q126" s="243"/>
      <c r="R126" s="243"/>
      <c r="S126" s="243"/>
      <c r="T126" s="243"/>
      <c r="U126" s="243"/>
    </row>
    <row r="127" spans="2:21">
      <c r="B127" s="145" t="str">
        <f t="shared" si="24"/>
        <v/>
      </c>
      <c r="C127" s="495">
        <f>IF(D94="","-",+C126+1)</f>
        <v>2041</v>
      </c>
      <c r="D127" s="349">
        <f>IF(F126+SUM(E$100:E126)=D$93,F126,D$93-SUM(E$100:E126))</f>
        <v>0</v>
      </c>
      <c r="E127" s="629">
        <f t="shared" si="26"/>
        <v>0</v>
      </c>
      <c r="F127" s="510">
        <f t="shared" si="27"/>
        <v>0</v>
      </c>
      <c r="G127" s="510">
        <f t="shared" si="28"/>
        <v>0</v>
      </c>
      <c r="H127" s="630">
        <f t="shared" si="29"/>
        <v>0</v>
      </c>
      <c r="I127" s="631">
        <f t="shared" si="30"/>
        <v>0</v>
      </c>
      <c r="J127" s="504">
        <f t="shared" si="25"/>
        <v>0</v>
      </c>
      <c r="K127" s="504"/>
      <c r="L127" s="512"/>
      <c r="M127" s="504">
        <f t="shared" si="21"/>
        <v>0</v>
      </c>
      <c r="N127" s="512"/>
      <c r="O127" s="504">
        <f t="shared" si="22"/>
        <v>0</v>
      </c>
      <c r="P127" s="504">
        <f t="shared" si="23"/>
        <v>0</v>
      </c>
      <c r="Q127" s="243"/>
      <c r="R127" s="243"/>
      <c r="S127" s="243"/>
      <c r="T127" s="243"/>
      <c r="U127" s="243"/>
    </row>
    <row r="128" spans="2:21">
      <c r="B128" s="145" t="str">
        <f t="shared" si="24"/>
        <v/>
      </c>
      <c r="C128" s="495">
        <f>IF(D94="","-",+C127+1)</f>
        <v>2042</v>
      </c>
      <c r="D128" s="349">
        <f>IF(F127+SUM(E$100:E127)=D$93,F127,D$93-SUM(E$100:E127))</f>
        <v>0</v>
      </c>
      <c r="E128" s="629">
        <f t="shared" si="26"/>
        <v>0</v>
      </c>
      <c r="F128" s="510">
        <f t="shared" si="27"/>
        <v>0</v>
      </c>
      <c r="G128" s="510">
        <f t="shared" si="28"/>
        <v>0</v>
      </c>
      <c r="H128" s="630">
        <f t="shared" si="29"/>
        <v>0</v>
      </c>
      <c r="I128" s="631">
        <f t="shared" si="30"/>
        <v>0</v>
      </c>
      <c r="J128" s="504">
        <f t="shared" si="25"/>
        <v>0</v>
      </c>
      <c r="K128" s="504"/>
      <c r="L128" s="512"/>
      <c r="M128" s="504">
        <f t="shared" si="21"/>
        <v>0</v>
      </c>
      <c r="N128" s="512"/>
      <c r="O128" s="504">
        <f t="shared" si="22"/>
        <v>0</v>
      </c>
      <c r="P128" s="504">
        <f t="shared" si="23"/>
        <v>0</v>
      </c>
      <c r="Q128" s="243"/>
      <c r="R128" s="243"/>
      <c r="S128" s="243"/>
      <c r="T128" s="243"/>
      <c r="U128" s="243"/>
    </row>
    <row r="129" spans="2:21">
      <c r="B129" s="145" t="str">
        <f t="shared" si="24"/>
        <v/>
      </c>
      <c r="C129" s="495">
        <f>IF(D94="","-",+C128+1)</f>
        <v>2043</v>
      </c>
      <c r="D129" s="349">
        <f>IF(F128+SUM(E$100:E128)=D$93,F128,D$93-SUM(E$100:E128))</f>
        <v>0</v>
      </c>
      <c r="E129" s="629">
        <f t="shared" si="26"/>
        <v>0</v>
      </c>
      <c r="F129" s="510">
        <f t="shared" si="27"/>
        <v>0</v>
      </c>
      <c r="G129" s="510">
        <f t="shared" si="28"/>
        <v>0</v>
      </c>
      <c r="H129" s="630">
        <f t="shared" si="29"/>
        <v>0</v>
      </c>
      <c r="I129" s="631">
        <f t="shared" si="30"/>
        <v>0</v>
      </c>
      <c r="J129" s="504">
        <f t="shared" si="25"/>
        <v>0</v>
      </c>
      <c r="K129" s="504"/>
      <c r="L129" s="512"/>
      <c r="M129" s="504">
        <f t="shared" si="21"/>
        <v>0</v>
      </c>
      <c r="N129" s="512"/>
      <c r="O129" s="504">
        <f t="shared" si="22"/>
        <v>0</v>
      </c>
      <c r="P129" s="504">
        <f t="shared" si="23"/>
        <v>0</v>
      </c>
      <c r="Q129" s="243"/>
      <c r="R129" s="243"/>
      <c r="S129" s="243"/>
      <c r="T129" s="243"/>
      <c r="U129" s="243"/>
    </row>
    <row r="130" spans="2:21">
      <c r="B130" s="145" t="str">
        <f t="shared" si="24"/>
        <v/>
      </c>
      <c r="C130" s="495">
        <f>IF(D94="","-",+C129+1)</f>
        <v>2044</v>
      </c>
      <c r="D130" s="349">
        <f>IF(F129+SUM(E$100:E129)=D$93,F129,D$93-SUM(E$100:E129))</f>
        <v>0</v>
      </c>
      <c r="E130" s="629">
        <f t="shared" si="26"/>
        <v>0</v>
      </c>
      <c r="F130" s="510">
        <f t="shared" si="27"/>
        <v>0</v>
      </c>
      <c r="G130" s="510">
        <f t="shared" si="28"/>
        <v>0</v>
      </c>
      <c r="H130" s="630">
        <f t="shared" si="29"/>
        <v>0</v>
      </c>
      <c r="I130" s="631">
        <f t="shared" si="30"/>
        <v>0</v>
      </c>
      <c r="J130" s="504">
        <f t="shared" si="25"/>
        <v>0</v>
      </c>
      <c r="K130" s="504"/>
      <c r="L130" s="512"/>
      <c r="M130" s="504">
        <f t="shared" si="21"/>
        <v>0</v>
      </c>
      <c r="N130" s="512"/>
      <c r="O130" s="504">
        <f t="shared" si="22"/>
        <v>0</v>
      </c>
      <c r="P130" s="504">
        <f t="shared" si="23"/>
        <v>0</v>
      </c>
      <c r="Q130" s="243"/>
      <c r="R130" s="243"/>
      <c r="S130" s="243"/>
      <c r="T130" s="243"/>
      <c r="U130" s="243"/>
    </row>
    <row r="131" spans="2:21">
      <c r="B131" s="145" t="str">
        <f t="shared" si="24"/>
        <v/>
      </c>
      <c r="C131" s="495">
        <f>IF(D94="","-",+C130+1)</f>
        <v>2045</v>
      </c>
      <c r="D131" s="349">
        <f>IF(F130+SUM(E$100:E130)=D$93,F130,D$93-SUM(E$100:E130))</f>
        <v>0</v>
      </c>
      <c r="E131" s="629">
        <f t="shared" si="26"/>
        <v>0</v>
      </c>
      <c r="F131" s="510">
        <f t="shared" si="27"/>
        <v>0</v>
      </c>
      <c r="G131" s="510">
        <f t="shared" si="28"/>
        <v>0</v>
      </c>
      <c r="H131" s="630">
        <f t="shared" si="29"/>
        <v>0</v>
      </c>
      <c r="I131" s="631">
        <f t="shared" si="30"/>
        <v>0</v>
      </c>
      <c r="J131" s="504">
        <f t="shared" si="25"/>
        <v>0</v>
      </c>
      <c r="K131" s="504"/>
      <c r="L131" s="512"/>
      <c r="M131" s="504">
        <f t="shared" si="21"/>
        <v>0</v>
      </c>
      <c r="N131" s="512"/>
      <c r="O131" s="504">
        <f t="shared" si="22"/>
        <v>0</v>
      </c>
      <c r="P131" s="504">
        <f t="shared" si="23"/>
        <v>0</v>
      </c>
      <c r="Q131" s="243"/>
      <c r="R131" s="243"/>
      <c r="S131" s="243"/>
      <c r="T131" s="243"/>
      <c r="U131" s="243"/>
    </row>
    <row r="132" spans="2:21">
      <c r="B132" s="145" t="str">
        <f t="shared" si="24"/>
        <v/>
      </c>
      <c r="C132" s="495">
        <f>IF(D94="","-",+C131+1)</f>
        <v>2046</v>
      </c>
      <c r="D132" s="349">
        <f>IF(F131+SUM(E$100:E131)=D$93,F131,D$93-SUM(E$100:E131))</f>
        <v>0</v>
      </c>
      <c r="E132" s="629">
        <f t="shared" si="26"/>
        <v>0</v>
      </c>
      <c r="F132" s="510">
        <f t="shared" si="27"/>
        <v>0</v>
      </c>
      <c r="G132" s="510">
        <f t="shared" si="28"/>
        <v>0</v>
      </c>
      <c r="H132" s="630">
        <f t="shared" si="29"/>
        <v>0</v>
      </c>
      <c r="I132" s="631">
        <f t="shared" si="30"/>
        <v>0</v>
      </c>
      <c r="J132" s="504">
        <f t="shared" si="25"/>
        <v>0</v>
      </c>
      <c r="K132" s="504"/>
      <c r="L132" s="512"/>
      <c r="M132" s="504">
        <f t="shared" ref="M132:M155" si="31">IF(L542&lt;&gt;0,+H542-L542,0)</f>
        <v>0</v>
      </c>
      <c r="N132" s="512"/>
      <c r="O132" s="504">
        <f t="shared" ref="O132:O155" si="32">IF(N542&lt;&gt;0,+I542-N542,0)</f>
        <v>0</v>
      </c>
      <c r="P132" s="504">
        <f t="shared" ref="P132:P155" si="33">+O542-M542</f>
        <v>0</v>
      </c>
      <c r="Q132" s="243"/>
      <c r="R132" s="243"/>
      <c r="S132" s="243"/>
      <c r="T132" s="243"/>
      <c r="U132" s="243"/>
    </row>
    <row r="133" spans="2:21">
      <c r="B133" s="145" t="str">
        <f t="shared" si="24"/>
        <v/>
      </c>
      <c r="C133" s="495">
        <f>IF(D94="","-",+C132+1)</f>
        <v>2047</v>
      </c>
      <c r="D133" s="349">
        <f>IF(F132+SUM(E$100:E132)=D$93,F132,D$93-SUM(E$100:E132))</f>
        <v>0</v>
      </c>
      <c r="E133" s="629">
        <f t="shared" si="26"/>
        <v>0</v>
      </c>
      <c r="F133" s="510">
        <f t="shared" si="27"/>
        <v>0</v>
      </c>
      <c r="G133" s="510">
        <f t="shared" si="28"/>
        <v>0</v>
      </c>
      <c r="H133" s="630">
        <f t="shared" si="29"/>
        <v>0</v>
      </c>
      <c r="I133" s="631">
        <f t="shared" si="30"/>
        <v>0</v>
      </c>
      <c r="J133" s="504">
        <f t="shared" si="25"/>
        <v>0</v>
      </c>
      <c r="K133" s="504"/>
      <c r="L133" s="512"/>
      <c r="M133" s="504">
        <f t="shared" si="31"/>
        <v>0</v>
      </c>
      <c r="N133" s="512"/>
      <c r="O133" s="504">
        <f t="shared" si="32"/>
        <v>0</v>
      </c>
      <c r="P133" s="504">
        <f t="shared" si="33"/>
        <v>0</v>
      </c>
      <c r="Q133" s="243"/>
      <c r="R133" s="243"/>
      <c r="S133" s="243"/>
      <c r="T133" s="243"/>
      <c r="U133" s="243"/>
    </row>
    <row r="134" spans="2:21">
      <c r="B134" s="145" t="str">
        <f t="shared" si="24"/>
        <v/>
      </c>
      <c r="C134" s="495">
        <f>IF(D94="","-",+C133+1)</f>
        <v>2048</v>
      </c>
      <c r="D134" s="349">
        <f>IF(F133+SUM(E$100:E133)=D$93,F133,D$93-SUM(E$100:E133))</f>
        <v>0</v>
      </c>
      <c r="E134" s="629">
        <f t="shared" si="26"/>
        <v>0</v>
      </c>
      <c r="F134" s="510">
        <f t="shared" si="27"/>
        <v>0</v>
      </c>
      <c r="G134" s="510">
        <f t="shared" si="28"/>
        <v>0</v>
      </c>
      <c r="H134" s="630">
        <f t="shared" si="29"/>
        <v>0</v>
      </c>
      <c r="I134" s="631">
        <f t="shared" si="30"/>
        <v>0</v>
      </c>
      <c r="J134" s="504">
        <f t="shared" si="25"/>
        <v>0</v>
      </c>
      <c r="K134" s="504"/>
      <c r="L134" s="512"/>
      <c r="M134" s="504">
        <f t="shared" si="31"/>
        <v>0</v>
      </c>
      <c r="N134" s="512"/>
      <c r="O134" s="504">
        <f t="shared" si="32"/>
        <v>0</v>
      </c>
      <c r="P134" s="504">
        <f t="shared" si="33"/>
        <v>0</v>
      </c>
      <c r="Q134" s="243"/>
      <c r="R134" s="243"/>
      <c r="S134" s="243"/>
      <c r="T134" s="243"/>
      <c r="U134" s="243"/>
    </row>
    <row r="135" spans="2:21">
      <c r="B135" s="145" t="str">
        <f t="shared" si="24"/>
        <v/>
      </c>
      <c r="C135" s="495">
        <f>IF(D94="","-",+C134+1)</f>
        <v>2049</v>
      </c>
      <c r="D135" s="349">
        <f>IF(F134+SUM(E$100:E134)=D$93,F134,D$93-SUM(E$100:E134))</f>
        <v>0</v>
      </c>
      <c r="E135" s="629">
        <f t="shared" si="26"/>
        <v>0</v>
      </c>
      <c r="F135" s="510">
        <f t="shared" si="27"/>
        <v>0</v>
      </c>
      <c r="G135" s="510">
        <f t="shared" si="28"/>
        <v>0</v>
      </c>
      <c r="H135" s="630">
        <f t="shared" si="29"/>
        <v>0</v>
      </c>
      <c r="I135" s="631">
        <f t="shared" si="30"/>
        <v>0</v>
      </c>
      <c r="J135" s="504">
        <f t="shared" si="25"/>
        <v>0</v>
      </c>
      <c r="K135" s="504"/>
      <c r="L135" s="512"/>
      <c r="M135" s="504">
        <f t="shared" si="31"/>
        <v>0</v>
      </c>
      <c r="N135" s="512"/>
      <c r="O135" s="504">
        <f t="shared" si="32"/>
        <v>0</v>
      </c>
      <c r="P135" s="504">
        <f t="shared" si="33"/>
        <v>0</v>
      </c>
      <c r="Q135" s="243"/>
      <c r="R135" s="243"/>
      <c r="S135" s="243"/>
      <c r="T135" s="243"/>
      <c r="U135" s="243"/>
    </row>
    <row r="136" spans="2:21">
      <c r="B136" s="145" t="str">
        <f t="shared" si="24"/>
        <v/>
      </c>
      <c r="C136" s="495">
        <f>IF(D94="","-",+C135+1)</f>
        <v>2050</v>
      </c>
      <c r="D136" s="349">
        <f>IF(F135+SUM(E$100:E135)=D$93,F135,D$93-SUM(E$100:E135))</f>
        <v>0</v>
      </c>
      <c r="E136" s="629">
        <f t="shared" si="26"/>
        <v>0</v>
      </c>
      <c r="F136" s="510">
        <f t="shared" si="27"/>
        <v>0</v>
      </c>
      <c r="G136" s="510">
        <f t="shared" si="28"/>
        <v>0</v>
      </c>
      <c r="H136" s="630">
        <f t="shared" si="29"/>
        <v>0</v>
      </c>
      <c r="I136" s="631">
        <f t="shared" si="30"/>
        <v>0</v>
      </c>
      <c r="J136" s="504">
        <f t="shared" si="25"/>
        <v>0</v>
      </c>
      <c r="K136" s="504"/>
      <c r="L136" s="512"/>
      <c r="M136" s="504">
        <f t="shared" si="31"/>
        <v>0</v>
      </c>
      <c r="N136" s="512"/>
      <c r="O136" s="504">
        <f t="shared" si="32"/>
        <v>0</v>
      </c>
      <c r="P136" s="504">
        <f t="shared" si="33"/>
        <v>0</v>
      </c>
      <c r="Q136" s="243"/>
      <c r="R136" s="243"/>
      <c r="S136" s="243"/>
      <c r="T136" s="243"/>
      <c r="U136" s="243"/>
    </row>
    <row r="137" spans="2:21">
      <c r="B137" s="145" t="str">
        <f t="shared" si="24"/>
        <v/>
      </c>
      <c r="C137" s="495">
        <f>IF(D94="","-",+C136+1)</f>
        <v>2051</v>
      </c>
      <c r="D137" s="349">
        <f>IF(F136+SUM(E$100:E136)=D$93,F136,D$93-SUM(E$100:E136))</f>
        <v>0</v>
      </c>
      <c r="E137" s="629">
        <f t="shared" si="26"/>
        <v>0</v>
      </c>
      <c r="F137" s="510">
        <f t="shared" si="27"/>
        <v>0</v>
      </c>
      <c r="G137" s="510">
        <f t="shared" si="28"/>
        <v>0</v>
      </c>
      <c r="H137" s="630">
        <f t="shared" si="29"/>
        <v>0</v>
      </c>
      <c r="I137" s="631">
        <f t="shared" si="30"/>
        <v>0</v>
      </c>
      <c r="J137" s="504">
        <f t="shared" si="25"/>
        <v>0</v>
      </c>
      <c r="K137" s="504"/>
      <c r="L137" s="512"/>
      <c r="M137" s="504">
        <f t="shared" si="31"/>
        <v>0</v>
      </c>
      <c r="N137" s="512"/>
      <c r="O137" s="504">
        <f t="shared" si="32"/>
        <v>0</v>
      </c>
      <c r="P137" s="504">
        <f t="shared" si="33"/>
        <v>0</v>
      </c>
      <c r="Q137" s="243"/>
      <c r="R137" s="243"/>
      <c r="S137" s="243"/>
      <c r="T137" s="243"/>
      <c r="U137" s="243"/>
    </row>
    <row r="138" spans="2:21">
      <c r="B138" s="145" t="str">
        <f t="shared" si="24"/>
        <v/>
      </c>
      <c r="C138" s="495">
        <f>IF(D94="","-",+C137+1)</f>
        <v>2052</v>
      </c>
      <c r="D138" s="349">
        <f>IF(F137+SUM(E$100:E137)=D$93,F137,D$93-SUM(E$100:E137))</f>
        <v>0</v>
      </c>
      <c r="E138" s="629">
        <f t="shared" si="26"/>
        <v>0</v>
      </c>
      <c r="F138" s="510">
        <f t="shared" si="27"/>
        <v>0</v>
      </c>
      <c r="G138" s="510">
        <f t="shared" si="28"/>
        <v>0</v>
      </c>
      <c r="H138" s="630">
        <f t="shared" si="29"/>
        <v>0</v>
      </c>
      <c r="I138" s="631">
        <f t="shared" si="30"/>
        <v>0</v>
      </c>
      <c r="J138" s="504">
        <f t="shared" si="25"/>
        <v>0</v>
      </c>
      <c r="K138" s="504"/>
      <c r="L138" s="512"/>
      <c r="M138" s="504">
        <f t="shared" si="31"/>
        <v>0</v>
      </c>
      <c r="N138" s="512"/>
      <c r="O138" s="504">
        <f t="shared" si="32"/>
        <v>0</v>
      </c>
      <c r="P138" s="504">
        <f t="shared" si="33"/>
        <v>0</v>
      </c>
      <c r="Q138" s="243"/>
      <c r="R138" s="243"/>
      <c r="S138" s="243"/>
      <c r="T138" s="243"/>
      <c r="U138" s="243"/>
    </row>
    <row r="139" spans="2:21">
      <c r="B139" s="145" t="str">
        <f t="shared" si="24"/>
        <v/>
      </c>
      <c r="C139" s="495">
        <f>IF(D94="","-",+C138+1)</f>
        <v>2053</v>
      </c>
      <c r="D139" s="349">
        <f>IF(F138+SUM(E$100:E138)=D$93,F138,D$93-SUM(E$100:E138))</f>
        <v>0</v>
      </c>
      <c r="E139" s="629">
        <f t="shared" si="26"/>
        <v>0</v>
      </c>
      <c r="F139" s="510">
        <f t="shared" si="27"/>
        <v>0</v>
      </c>
      <c r="G139" s="510">
        <f t="shared" si="28"/>
        <v>0</v>
      </c>
      <c r="H139" s="630">
        <f t="shared" si="29"/>
        <v>0</v>
      </c>
      <c r="I139" s="631">
        <f t="shared" si="30"/>
        <v>0</v>
      </c>
      <c r="J139" s="504">
        <f t="shared" si="25"/>
        <v>0</v>
      </c>
      <c r="K139" s="504"/>
      <c r="L139" s="512"/>
      <c r="M139" s="504">
        <f t="shared" si="31"/>
        <v>0</v>
      </c>
      <c r="N139" s="512"/>
      <c r="O139" s="504">
        <f t="shared" si="32"/>
        <v>0</v>
      </c>
      <c r="P139" s="504">
        <f t="shared" si="33"/>
        <v>0</v>
      </c>
      <c r="Q139" s="243"/>
      <c r="R139" s="243"/>
      <c r="S139" s="243"/>
      <c r="T139" s="243"/>
      <c r="U139" s="243"/>
    </row>
    <row r="140" spans="2:21">
      <c r="B140" s="145" t="str">
        <f t="shared" si="24"/>
        <v/>
      </c>
      <c r="C140" s="495">
        <f>IF(D94="","-",+C139+1)</f>
        <v>2054</v>
      </c>
      <c r="D140" s="349">
        <f>IF(F139+SUM(E$100:E139)=D$93,F139,D$93-SUM(E$100:E139))</f>
        <v>0</v>
      </c>
      <c r="E140" s="629">
        <f t="shared" si="26"/>
        <v>0</v>
      </c>
      <c r="F140" s="510">
        <f t="shared" si="27"/>
        <v>0</v>
      </c>
      <c r="G140" s="510">
        <f t="shared" si="28"/>
        <v>0</v>
      </c>
      <c r="H140" s="630">
        <f t="shared" si="29"/>
        <v>0</v>
      </c>
      <c r="I140" s="631">
        <f t="shared" si="30"/>
        <v>0</v>
      </c>
      <c r="J140" s="504">
        <f t="shared" si="25"/>
        <v>0</v>
      </c>
      <c r="K140" s="504"/>
      <c r="L140" s="512"/>
      <c r="M140" s="504">
        <f t="shared" si="31"/>
        <v>0</v>
      </c>
      <c r="N140" s="512"/>
      <c r="O140" s="504">
        <f t="shared" si="32"/>
        <v>0</v>
      </c>
      <c r="P140" s="504">
        <f t="shared" si="33"/>
        <v>0</v>
      </c>
      <c r="Q140" s="243"/>
      <c r="R140" s="243"/>
      <c r="S140" s="243"/>
      <c r="T140" s="243"/>
      <c r="U140" s="243"/>
    </row>
    <row r="141" spans="2:21">
      <c r="B141" s="145" t="str">
        <f t="shared" si="24"/>
        <v/>
      </c>
      <c r="C141" s="495">
        <f>IF(D94="","-",+C140+1)</f>
        <v>2055</v>
      </c>
      <c r="D141" s="349">
        <f>IF(F140+SUM(E$100:E140)=D$93,F140,D$93-SUM(E$100:E140))</f>
        <v>0</v>
      </c>
      <c r="E141" s="629">
        <f t="shared" si="26"/>
        <v>0</v>
      </c>
      <c r="F141" s="510">
        <f t="shared" si="27"/>
        <v>0</v>
      </c>
      <c r="G141" s="510">
        <f t="shared" si="28"/>
        <v>0</v>
      </c>
      <c r="H141" s="630">
        <f t="shared" si="29"/>
        <v>0</v>
      </c>
      <c r="I141" s="631">
        <f t="shared" si="30"/>
        <v>0</v>
      </c>
      <c r="J141" s="504">
        <f t="shared" si="25"/>
        <v>0</v>
      </c>
      <c r="K141" s="504"/>
      <c r="L141" s="512"/>
      <c r="M141" s="504">
        <f t="shared" si="31"/>
        <v>0</v>
      </c>
      <c r="N141" s="512"/>
      <c r="O141" s="504">
        <f t="shared" si="32"/>
        <v>0</v>
      </c>
      <c r="P141" s="504">
        <f t="shared" si="33"/>
        <v>0</v>
      </c>
      <c r="Q141" s="243"/>
      <c r="R141" s="243"/>
      <c r="S141" s="243"/>
      <c r="T141" s="243"/>
      <c r="U141" s="243"/>
    </row>
    <row r="142" spans="2:21">
      <c r="B142" s="145" t="str">
        <f t="shared" si="24"/>
        <v/>
      </c>
      <c r="C142" s="495">
        <f>IF(D94="","-",+C141+1)</f>
        <v>2056</v>
      </c>
      <c r="D142" s="349">
        <f>IF(F141+SUM(E$100:E141)=D$93,F141,D$93-SUM(E$100:E141))</f>
        <v>0</v>
      </c>
      <c r="E142" s="629">
        <f t="shared" si="26"/>
        <v>0</v>
      </c>
      <c r="F142" s="510">
        <f t="shared" si="27"/>
        <v>0</v>
      </c>
      <c r="G142" s="510">
        <f t="shared" si="28"/>
        <v>0</v>
      </c>
      <c r="H142" s="630">
        <f t="shared" si="29"/>
        <v>0</v>
      </c>
      <c r="I142" s="631">
        <f t="shared" si="30"/>
        <v>0</v>
      </c>
      <c r="J142" s="504">
        <f t="shared" si="25"/>
        <v>0</v>
      </c>
      <c r="K142" s="504"/>
      <c r="L142" s="512"/>
      <c r="M142" s="504">
        <f t="shared" si="31"/>
        <v>0</v>
      </c>
      <c r="N142" s="512"/>
      <c r="O142" s="504">
        <f t="shared" si="32"/>
        <v>0</v>
      </c>
      <c r="P142" s="504">
        <f t="shared" si="33"/>
        <v>0</v>
      </c>
      <c r="Q142" s="243"/>
      <c r="R142" s="243"/>
      <c r="S142" s="243"/>
      <c r="T142" s="243"/>
      <c r="U142" s="243"/>
    </row>
    <row r="143" spans="2:21">
      <c r="B143" s="145" t="str">
        <f t="shared" si="24"/>
        <v/>
      </c>
      <c r="C143" s="495">
        <f>IF(D94="","-",+C142+1)</f>
        <v>2057</v>
      </c>
      <c r="D143" s="349">
        <f>IF(F142+SUM(E$100:E142)=D$93,F142,D$93-SUM(E$100:E142))</f>
        <v>0</v>
      </c>
      <c r="E143" s="629">
        <f t="shared" si="26"/>
        <v>0</v>
      </c>
      <c r="F143" s="510">
        <f t="shared" si="27"/>
        <v>0</v>
      </c>
      <c r="G143" s="510">
        <f t="shared" si="28"/>
        <v>0</v>
      </c>
      <c r="H143" s="630">
        <f t="shared" si="29"/>
        <v>0</v>
      </c>
      <c r="I143" s="631">
        <f t="shared" si="30"/>
        <v>0</v>
      </c>
      <c r="J143" s="504">
        <f t="shared" si="25"/>
        <v>0</v>
      </c>
      <c r="K143" s="504"/>
      <c r="L143" s="512"/>
      <c r="M143" s="504">
        <f t="shared" si="31"/>
        <v>0</v>
      </c>
      <c r="N143" s="512"/>
      <c r="O143" s="504">
        <f t="shared" si="32"/>
        <v>0</v>
      </c>
      <c r="P143" s="504">
        <f t="shared" si="33"/>
        <v>0</v>
      </c>
      <c r="Q143" s="243"/>
      <c r="R143" s="243"/>
      <c r="S143" s="243"/>
      <c r="T143" s="243"/>
      <c r="U143" s="243"/>
    </row>
    <row r="144" spans="2:21">
      <c r="B144" s="145" t="str">
        <f t="shared" si="24"/>
        <v/>
      </c>
      <c r="C144" s="495">
        <f>IF(D94="","-",+C143+1)</f>
        <v>2058</v>
      </c>
      <c r="D144" s="349">
        <f>IF(F143+SUM(E$100:E143)=D$93,F143,D$93-SUM(E$100:E143))</f>
        <v>0</v>
      </c>
      <c r="E144" s="629">
        <f t="shared" si="26"/>
        <v>0</v>
      </c>
      <c r="F144" s="510">
        <f t="shared" si="27"/>
        <v>0</v>
      </c>
      <c r="G144" s="510">
        <f t="shared" si="28"/>
        <v>0</v>
      </c>
      <c r="H144" s="630">
        <f t="shared" si="29"/>
        <v>0</v>
      </c>
      <c r="I144" s="631">
        <f t="shared" si="30"/>
        <v>0</v>
      </c>
      <c r="J144" s="504">
        <f t="shared" si="25"/>
        <v>0</v>
      </c>
      <c r="K144" s="504"/>
      <c r="L144" s="512"/>
      <c r="M144" s="504">
        <f t="shared" si="31"/>
        <v>0</v>
      </c>
      <c r="N144" s="512"/>
      <c r="O144" s="504">
        <f t="shared" si="32"/>
        <v>0</v>
      </c>
      <c r="P144" s="504">
        <f t="shared" si="33"/>
        <v>0</v>
      </c>
      <c r="Q144" s="243"/>
      <c r="R144" s="243"/>
      <c r="S144" s="243"/>
      <c r="T144" s="243"/>
      <c r="U144" s="243"/>
    </row>
    <row r="145" spans="2:21">
      <c r="B145" s="145" t="str">
        <f t="shared" si="24"/>
        <v/>
      </c>
      <c r="C145" s="495">
        <f>IF(D94="","-",+C144+1)</f>
        <v>2059</v>
      </c>
      <c r="D145" s="349">
        <f>IF(F144+SUM(E$100:E144)=D$93,F144,D$93-SUM(E$100:E144))</f>
        <v>0</v>
      </c>
      <c r="E145" s="629">
        <f t="shared" si="26"/>
        <v>0</v>
      </c>
      <c r="F145" s="510">
        <f t="shared" si="27"/>
        <v>0</v>
      </c>
      <c r="G145" s="510">
        <f t="shared" si="28"/>
        <v>0</v>
      </c>
      <c r="H145" s="630">
        <f t="shared" si="29"/>
        <v>0</v>
      </c>
      <c r="I145" s="631">
        <f t="shared" si="30"/>
        <v>0</v>
      </c>
      <c r="J145" s="504">
        <f t="shared" si="25"/>
        <v>0</v>
      </c>
      <c r="K145" s="504"/>
      <c r="L145" s="512"/>
      <c r="M145" s="504">
        <f t="shared" si="31"/>
        <v>0</v>
      </c>
      <c r="N145" s="512"/>
      <c r="O145" s="504">
        <f t="shared" si="32"/>
        <v>0</v>
      </c>
      <c r="P145" s="504">
        <f t="shared" si="33"/>
        <v>0</v>
      </c>
      <c r="Q145" s="243"/>
      <c r="R145" s="243"/>
      <c r="S145" s="243"/>
      <c r="T145" s="243"/>
      <c r="U145" s="243"/>
    </row>
    <row r="146" spans="2:21">
      <c r="B146" s="145" t="str">
        <f t="shared" si="24"/>
        <v/>
      </c>
      <c r="C146" s="495">
        <f>IF(D94="","-",+C145+1)</f>
        <v>2060</v>
      </c>
      <c r="D146" s="349">
        <f>IF(F145+SUM(E$100:E145)=D$93,F145,D$93-SUM(E$100:E145))</f>
        <v>0</v>
      </c>
      <c r="E146" s="629">
        <f t="shared" si="26"/>
        <v>0</v>
      </c>
      <c r="F146" s="510">
        <f t="shared" si="27"/>
        <v>0</v>
      </c>
      <c r="G146" s="510">
        <f t="shared" si="28"/>
        <v>0</v>
      </c>
      <c r="H146" s="630">
        <f t="shared" si="29"/>
        <v>0</v>
      </c>
      <c r="I146" s="631">
        <f t="shared" si="30"/>
        <v>0</v>
      </c>
      <c r="J146" s="504">
        <f t="shared" si="25"/>
        <v>0</v>
      </c>
      <c r="K146" s="504"/>
      <c r="L146" s="512"/>
      <c r="M146" s="504">
        <f t="shared" si="31"/>
        <v>0</v>
      </c>
      <c r="N146" s="512"/>
      <c r="O146" s="504">
        <f t="shared" si="32"/>
        <v>0</v>
      </c>
      <c r="P146" s="504">
        <f t="shared" si="33"/>
        <v>0</v>
      </c>
      <c r="Q146" s="243"/>
      <c r="R146" s="243"/>
      <c r="S146" s="243"/>
      <c r="T146" s="243"/>
      <c r="U146" s="243"/>
    </row>
    <row r="147" spans="2:21">
      <c r="B147" s="145" t="str">
        <f t="shared" si="24"/>
        <v/>
      </c>
      <c r="C147" s="495">
        <f>IF(D94="","-",+C146+1)</f>
        <v>2061</v>
      </c>
      <c r="D147" s="349">
        <f>IF(F146+SUM(E$100:E146)=D$93,F146,D$93-SUM(E$100:E146))</f>
        <v>0</v>
      </c>
      <c r="E147" s="629">
        <f t="shared" si="26"/>
        <v>0</v>
      </c>
      <c r="F147" s="510">
        <f t="shared" si="27"/>
        <v>0</v>
      </c>
      <c r="G147" s="510">
        <f t="shared" si="28"/>
        <v>0</v>
      </c>
      <c r="H147" s="630">
        <f t="shared" si="29"/>
        <v>0</v>
      </c>
      <c r="I147" s="631">
        <f t="shared" si="30"/>
        <v>0</v>
      </c>
      <c r="J147" s="504">
        <f t="shared" si="25"/>
        <v>0</v>
      </c>
      <c r="K147" s="504"/>
      <c r="L147" s="512"/>
      <c r="M147" s="504">
        <f t="shared" si="31"/>
        <v>0</v>
      </c>
      <c r="N147" s="512"/>
      <c r="O147" s="504">
        <f t="shared" si="32"/>
        <v>0</v>
      </c>
      <c r="P147" s="504">
        <f t="shared" si="33"/>
        <v>0</v>
      </c>
      <c r="Q147" s="243"/>
      <c r="R147" s="243"/>
      <c r="S147" s="243"/>
      <c r="T147" s="243"/>
      <c r="U147" s="243"/>
    </row>
    <row r="148" spans="2:21">
      <c r="B148" s="145" t="str">
        <f t="shared" si="24"/>
        <v/>
      </c>
      <c r="C148" s="495">
        <f>IF(D94="","-",+C147+1)</f>
        <v>2062</v>
      </c>
      <c r="D148" s="349">
        <f>IF(F147+SUM(E$100:E147)=D$93,F147,D$93-SUM(E$100:E147))</f>
        <v>0</v>
      </c>
      <c r="E148" s="629">
        <f t="shared" si="26"/>
        <v>0</v>
      </c>
      <c r="F148" s="510">
        <f t="shared" si="27"/>
        <v>0</v>
      </c>
      <c r="G148" s="510">
        <f t="shared" si="28"/>
        <v>0</v>
      </c>
      <c r="H148" s="630">
        <f t="shared" si="29"/>
        <v>0</v>
      </c>
      <c r="I148" s="631">
        <f t="shared" si="30"/>
        <v>0</v>
      </c>
      <c r="J148" s="504">
        <f t="shared" si="25"/>
        <v>0</v>
      </c>
      <c r="K148" s="504"/>
      <c r="L148" s="512"/>
      <c r="M148" s="504">
        <f t="shared" si="31"/>
        <v>0</v>
      </c>
      <c r="N148" s="512"/>
      <c r="O148" s="504">
        <f t="shared" si="32"/>
        <v>0</v>
      </c>
      <c r="P148" s="504">
        <f t="shared" si="33"/>
        <v>0</v>
      </c>
      <c r="Q148" s="243"/>
      <c r="R148" s="243"/>
      <c r="S148" s="243"/>
      <c r="T148" s="243"/>
      <c r="U148" s="243"/>
    </row>
    <row r="149" spans="2:21">
      <c r="B149" s="145" t="str">
        <f t="shared" si="24"/>
        <v/>
      </c>
      <c r="C149" s="495">
        <f>IF(D94="","-",+C148+1)</f>
        <v>2063</v>
      </c>
      <c r="D149" s="349">
        <f>IF(F148+SUM(E$100:E148)=D$93,F148,D$93-SUM(E$100:E148))</f>
        <v>0</v>
      </c>
      <c r="E149" s="629">
        <f t="shared" si="26"/>
        <v>0</v>
      </c>
      <c r="F149" s="510">
        <f t="shared" si="27"/>
        <v>0</v>
      </c>
      <c r="G149" s="510">
        <f t="shared" si="28"/>
        <v>0</v>
      </c>
      <c r="H149" s="630">
        <f t="shared" si="29"/>
        <v>0</v>
      </c>
      <c r="I149" s="631">
        <f t="shared" si="30"/>
        <v>0</v>
      </c>
      <c r="J149" s="504">
        <f t="shared" si="25"/>
        <v>0</v>
      </c>
      <c r="K149" s="504"/>
      <c r="L149" s="512"/>
      <c r="M149" s="504">
        <f t="shared" si="31"/>
        <v>0</v>
      </c>
      <c r="N149" s="512"/>
      <c r="O149" s="504">
        <f t="shared" si="32"/>
        <v>0</v>
      </c>
      <c r="P149" s="504">
        <f t="shared" si="33"/>
        <v>0</v>
      </c>
      <c r="Q149" s="243"/>
      <c r="R149" s="243"/>
      <c r="S149" s="243"/>
      <c r="T149" s="243"/>
      <c r="U149" s="243"/>
    </row>
    <row r="150" spans="2:21">
      <c r="B150" s="145" t="str">
        <f t="shared" si="24"/>
        <v/>
      </c>
      <c r="C150" s="495">
        <f>IF(D94="","-",+C149+1)</f>
        <v>2064</v>
      </c>
      <c r="D150" s="349">
        <f>IF(F149+SUM(E$100:E149)=D$93,F149,D$93-SUM(E$100:E149))</f>
        <v>0</v>
      </c>
      <c r="E150" s="629">
        <f t="shared" si="26"/>
        <v>0</v>
      </c>
      <c r="F150" s="510">
        <f t="shared" si="27"/>
        <v>0</v>
      </c>
      <c r="G150" s="510">
        <f t="shared" si="28"/>
        <v>0</v>
      </c>
      <c r="H150" s="630">
        <f t="shared" si="29"/>
        <v>0</v>
      </c>
      <c r="I150" s="631">
        <f t="shared" si="30"/>
        <v>0</v>
      </c>
      <c r="J150" s="504">
        <f t="shared" si="25"/>
        <v>0</v>
      </c>
      <c r="K150" s="504"/>
      <c r="L150" s="512"/>
      <c r="M150" s="504">
        <f t="shared" si="31"/>
        <v>0</v>
      </c>
      <c r="N150" s="512"/>
      <c r="O150" s="504">
        <f t="shared" si="32"/>
        <v>0</v>
      </c>
      <c r="P150" s="504">
        <f t="shared" si="33"/>
        <v>0</v>
      </c>
      <c r="Q150" s="243"/>
      <c r="R150" s="243"/>
      <c r="S150" s="243"/>
      <c r="T150" s="243"/>
      <c r="U150" s="243"/>
    </row>
    <row r="151" spans="2:21">
      <c r="B151" s="145" t="str">
        <f t="shared" si="24"/>
        <v/>
      </c>
      <c r="C151" s="495">
        <f>IF(D94="","-",+C150+1)</f>
        <v>2065</v>
      </c>
      <c r="D151" s="349">
        <f>IF(F150+SUM(E$100:E150)=D$93,F150,D$93-SUM(E$100:E150))</f>
        <v>0</v>
      </c>
      <c r="E151" s="629">
        <f t="shared" si="26"/>
        <v>0</v>
      </c>
      <c r="F151" s="510">
        <f t="shared" si="27"/>
        <v>0</v>
      </c>
      <c r="G151" s="510">
        <f t="shared" si="28"/>
        <v>0</v>
      </c>
      <c r="H151" s="630">
        <f t="shared" si="29"/>
        <v>0</v>
      </c>
      <c r="I151" s="631">
        <f t="shared" si="30"/>
        <v>0</v>
      </c>
      <c r="J151" s="504">
        <f t="shared" si="25"/>
        <v>0</v>
      </c>
      <c r="K151" s="504"/>
      <c r="L151" s="512"/>
      <c r="M151" s="504">
        <f t="shared" si="31"/>
        <v>0</v>
      </c>
      <c r="N151" s="512"/>
      <c r="O151" s="504">
        <f t="shared" si="32"/>
        <v>0</v>
      </c>
      <c r="P151" s="504">
        <f t="shared" si="33"/>
        <v>0</v>
      </c>
      <c r="Q151" s="243"/>
      <c r="R151" s="243"/>
      <c r="S151" s="243"/>
      <c r="T151" s="243"/>
      <c r="U151" s="243"/>
    </row>
    <row r="152" spans="2:21">
      <c r="B152" s="145" t="str">
        <f t="shared" si="24"/>
        <v/>
      </c>
      <c r="C152" s="495">
        <f>IF(D94="","-",+C151+1)</f>
        <v>2066</v>
      </c>
      <c r="D152" s="349">
        <f>IF(F151+SUM(E$100:E151)=D$93,F151,D$93-SUM(E$100:E151))</f>
        <v>0</v>
      </c>
      <c r="E152" s="629">
        <f t="shared" si="26"/>
        <v>0</v>
      </c>
      <c r="F152" s="510">
        <f t="shared" si="27"/>
        <v>0</v>
      </c>
      <c r="G152" s="510">
        <f t="shared" si="28"/>
        <v>0</v>
      </c>
      <c r="H152" s="630">
        <f t="shared" si="29"/>
        <v>0</v>
      </c>
      <c r="I152" s="631">
        <f t="shared" si="30"/>
        <v>0</v>
      </c>
      <c r="J152" s="504">
        <f t="shared" si="25"/>
        <v>0</v>
      </c>
      <c r="K152" s="504"/>
      <c r="L152" s="512"/>
      <c r="M152" s="504">
        <f t="shared" si="31"/>
        <v>0</v>
      </c>
      <c r="N152" s="512"/>
      <c r="O152" s="504">
        <f t="shared" si="32"/>
        <v>0</v>
      </c>
      <c r="P152" s="504">
        <f t="shared" si="33"/>
        <v>0</v>
      </c>
      <c r="Q152" s="243"/>
      <c r="R152" s="243"/>
      <c r="S152" s="243"/>
      <c r="T152" s="243"/>
      <c r="U152" s="243"/>
    </row>
    <row r="153" spans="2:21">
      <c r="B153" s="145" t="str">
        <f t="shared" si="24"/>
        <v/>
      </c>
      <c r="C153" s="495">
        <f>IF(D94="","-",+C152+1)</f>
        <v>2067</v>
      </c>
      <c r="D153" s="349">
        <f>IF(F152+SUM(E$100:E152)=D$93,F152,D$93-SUM(E$100:E152))</f>
        <v>0</v>
      </c>
      <c r="E153" s="629">
        <f t="shared" si="26"/>
        <v>0</v>
      </c>
      <c r="F153" s="510">
        <f t="shared" si="27"/>
        <v>0</v>
      </c>
      <c r="G153" s="510">
        <f t="shared" si="28"/>
        <v>0</v>
      </c>
      <c r="H153" s="630">
        <f t="shared" si="29"/>
        <v>0</v>
      </c>
      <c r="I153" s="631">
        <f t="shared" si="30"/>
        <v>0</v>
      </c>
      <c r="J153" s="504">
        <f t="shared" si="25"/>
        <v>0</v>
      </c>
      <c r="K153" s="504"/>
      <c r="L153" s="512"/>
      <c r="M153" s="504">
        <f t="shared" si="31"/>
        <v>0</v>
      </c>
      <c r="N153" s="512"/>
      <c r="O153" s="504">
        <f t="shared" si="32"/>
        <v>0</v>
      </c>
      <c r="P153" s="504">
        <f t="shared" si="33"/>
        <v>0</v>
      </c>
      <c r="Q153" s="243"/>
      <c r="R153" s="243"/>
      <c r="S153" s="243"/>
      <c r="T153" s="243"/>
      <c r="U153" s="243"/>
    </row>
    <row r="154" spans="2:21">
      <c r="B154" s="145" t="str">
        <f t="shared" si="24"/>
        <v/>
      </c>
      <c r="C154" s="495">
        <f>IF(D94="","-",+C153+1)</f>
        <v>2068</v>
      </c>
      <c r="D154" s="349">
        <f>IF(F153+SUM(E$100:E153)=D$93,F153,D$93-SUM(E$100:E153))</f>
        <v>0</v>
      </c>
      <c r="E154" s="629">
        <f t="shared" si="26"/>
        <v>0</v>
      </c>
      <c r="F154" s="510">
        <f t="shared" si="27"/>
        <v>0</v>
      </c>
      <c r="G154" s="510">
        <f t="shared" si="28"/>
        <v>0</v>
      </c>
      <c r="H154" s="630">
        <f t="shared" si="29"/>
        <v>0</v>
      </c>
      <c r="I154" s="631">
        <f t="shared" si="30"/>
        <v>0</v>
      </c>
      <c r="J154" s="504">
        <f t="shared" si="25"/>
        <v>0</v>
      </c>
      <c r="K154" s="504"/>
      <c r="L154" s="512"/>
      <c r="M154" s="504">
        <f t="shared" si="31"/>
        <v>0</v>
      </c>
      <c r="N154" s="512"/>
      <c r="O154" s="504">
        <f t="shared" si="32"/>
        <v>0</v>
      </c>
      <c r="P154" s="504">
        <f t="shared" si="33"/>
        <v>0</v>
      </c>
      <c r="Q154" s="243"/>
      <c r="R154" s="243"/>
      <c r="S154" s="243"/>
      <c r="T154" s="243"/>
      <c r="U154" s="243"/>
    </row>
    <row r="155" spans="2:21" ht="13.5" thickBot="1">
      <c r="B155" s="145" t="str">
        <f t="shared" si="24"/>
        <v/>
      </c>
      <c r="C155" s="524">
        <f>IF(D94="","-",+C154+1)</f>
        <v>2069</v>
      </c>
      <c r="D155" s="618">
        <f>IF(F154+SUM(E$100:E154)=D$93,F154,D$93-SUM(E$100:E154))</f>
        <v>0</v>
      </c>
      <c r="E155" s="632">
        <f t="shared" si="26"/>
        <v>0</v>
      </c>
      <c r="F155" s="527">
        <f t="shared" si="27"/>
        <v>0</v>
      </c>
      <c r="G155" s="527">
        <f t="shared" si="28"/>
        <v>0</v>
      </c>
      <c r="H155" s="633">
        <f t="shared" si="29"/>
        <v>0</v>
      </c>
      <c r="I155" s="634">
        <f t="shared" si="30"/>
        <v>0</v>
      </c>
      <c r="J155" s="531">
        <f t="shared" si="25"/>
        <v>0</v>
      </c>
      <c r="K155" s="504"/>
      <c r="L155" s="530"/>
      <c r="M155" s="531">
        <f t="shared" si="31"/>
        <v>0</v>
      </c>
      <c r="N155" s="530"/>
      <c r="O155" s="531">
        <f t="shared" si="32"/>
        <v>0</v>
      </c>
      <c r="P155" s="531">
        <f t="shared" si="33"/>
        <v>0</v>
      </c>
      <c r="Q155" s="243"/>
      <c r="R155" s="243"/>
      <c r="S155" s="243"/>
      <c r="T155" s="243"/>
      <c r="U155" s="243"/>
    </row>
    <row r="156" spans="2:21">
      <c r="C156" s="349" t="s">
        <v>75</v>
      </c>
      <c r="D156" s="294"/>
      <c r="E156" s="294">
        <f>SUM(E100:E155)</f>
        <v>13254470.000000002</v>
      </c>
      <c r="F156" s="294"/>
      <c r="G156" s="294"/>
      <c r="H156" s="294">
        <f>SUM(H100:H155)</f>
        <v>32217915.204480354</v>
      </c>
      <c r="I156" s="294">
        <f>SUM(I100:I155)</f>
        <v>32217915.204480354</v>
      </c>
      <c r="J156" s="294">
        <f>SUM(J100:J155)</f>
        <v>0</v>
      </c>
      <c r="K156" s="294"/>
      <c r="L156" s="294"/>
      <c r="M156" s="294"/>
      <c r="N156" s="294"/>
      <c r="O156" s="294"/>
      <c r="P156" s="243"/>
      <c r="Q156" s="243"/>
      <c r="R156" s="243"/>
      <c r="S156" s="243"/>
      <c r="T156" s="243"/>
      <c r="U156" s="243"/>
    </row>
    <row r="157" spans="2:21">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c r="C158" s="574"/>
      <c r="D158" s="292"/>
      <c r="E158" s="243"/>
      <c r="F158" s="243"/>
      <c r="G158" s="243"/>
      <c r="H158" s="243"/>
      <c r="I158" s="325"/>
      <c r="J158" s="325"/>
      <c r="K158" s="294"/>
      <c r="L158" s="325"/>
      <c r="M158" s="325"/>
      <c r="N158" s="325"/>
      <c r="O158" s="325"/>
      <c r="P158" s="243"/>
      <c r="Q158" s="243"/>
      <c r="R158" s="243"/>
      <c r="S158" s="243"/>
      <c r="T158" s="243"/>
      <c r="U158" s="243"/>
    </row>
    <row r="159" spans="2:21">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c r="C162" s="575"/>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37" priority="1" stopIfTrue="1" operator="equal">
      <formula>$I$10</formula>
    </cfRule>
  </conditionalFormatting>
  <conditionalFormatting sqref="C100:C155">
    <cfRule type="cellIs" dxfId="36"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39997558519241921"/>
  </sheetPr>
  <dimension ref="A1:U163"/>
  <sheetViews>
    <sheetView view="pageBreakPreview" zoomScale="78" zoomScaleNormal="100" zoomScaleSheetLayoutView="78"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13 of 23</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0</v>
      </c>
      <c r="P5" s="243"/>
      <c r="R5" s="243"/>
      <c r="S5" s="243"/>
      <c r="T5" s="243"/>
      <c r="U5" s="243"/>
    </row>
    <row r="6" spans="1:21" ht="15.75">
      <c r="C6" s="636" t="s">
        <v>266</v>
      </c>
      <c r="D6" s="292"/>
      <c r="E6" s="243"/>
      <c r="F6" s="243"/>
      <c r="G6" s="243"/>
      <c r="H6" s="449"/>
      <c r="I6" s="449"/>
      <c r="J6" s="450"/>
      <c r="K6" s="451" t="s">
        <v>243</v>
      </c>
      <c r="L6" s="452"/>
      <c r="M6" s="278"/>
      <c r="N6" s="453">
        <f>VLOOKUP(I10,C17:I73,6)</f>
        <v>0</v>
      </c>
      <c r="O6" s="243"/>
      <c r="P6" s="243"/>
      <c r="R6" s="243"/>
      <c r="S6" s="243"/>
      <c r="T6" s="243"/>
      <c r="U6" s="243"/>
    </row>
    <row r="7" spans="1:21" ht="13.5" thickBot="1">
      <c r="C7" s="454" t="s">
        <v>46</v>
      </c>
      <c r="D7" s="455" t="s">
        <v>231</v>
      </c>
      <c r="E7" s="243"/>
      <c r="F7" s="243"/>
      <c r="G7" s="243"/>
      <c r="H7" s="325"/>
      <c r="I7" s="325"/>
      <c r="J7" s="294"/>
      <c r="K7" s="456" t="s">
        <v>47</v>
      </c>
      <c r="L7" s="457"/>
      <c r="M7" s="457"/>
      <c r="N7" s="458">
        <f>+N6-N5</f>
        <v>0</v>
      </c>
      <c r="O7" s="243"/>
      <c r="P7" s="243"/>
      <c r="R7" s="243"/>
      <c r="S7" s="243"/>
      <c r="T7" s="243"/>
      <c r="U7" s="243"/>
    </row>
    <row r="8" spans="1:21" ht="13.5" thickBot="1">
      <c r="C8" s="459"/>
      <c r="D8" s="625" t="s">
        <v>230</v>
      </c>
      <c r="E8" s="461"/>
      <c r="F8" s="461"/>
      <c r="G8" s="461"/>
      <c r="H8" s="461"/>
      <c r="I8" s="461"/>
      <c r="J8" s="462"/>
      <c r="K8" s="461"/>
      <c r="L8" s="461"/>
      <c r="M8" s="461"/>
      <c r="N8" s="461"/>
      <c r="O8" s="462"/>
      <c r="P8" s="248"/>
      <c r="R8" s="243"/>
      <c r="S8" s="243"/>
      <c r="T8" s="243"/>
      <c r="U8" s="243"/>
    </row>
    <row r="9" spans="1:21" ht="13.5" thickBot="1">
      <c r="C9" s="463" t="s">
        <v>48</v>
      </c>
      <c r="D9" s="464" t="s">
        <v>232</v>
      </c>
      <c r="E9" s="647" t="s">
        <v>301</v>
      </c>
      <c r="F9" s="465"/>
      <c r="G9" s="465"/>
      <c r="H9" s="465"/>
      <c r="I9" s="466"/>
      <c r="J9" s="467"/>
      <c r="O9" s="468"/>
      <c r="P9" s="278"/>
      <c r="R9" s="243"/>
      <c r="S9" s="243"/>
      <c r="T9" s="243"/>
      <c r="U9" s="243"/>
    </row>
    <row r="10" spans="1:21">
      <c r="C10" s="469" t="s">
        <v>49</v>
      </c>
      <c r="D10" s="470">
        <v>4817114</v>
      </c>
      <c r="E10" s="299" t="s">
        <v>50</v>
      </c>
      <c r="F10" s="468"/>
      <c r="G10" s="408"/>
      <c r="H10" s="408"/>
      <c r="I10" s="471">
        <f>+OKT.WS.F.BPU.ATRR.Projected!R101</f>
        <v>2022</v>
      </c>
      <c r="J10" s="467"/>
      <c r="K10" s="294" t="s">
        <v>51</v>
      </c>
      <c r="O10" s="278"/>
      <c r="P10" s="278"/>
      <c r="R10" s="243"/>
      <c r="S10" s="243"/>
      <c r="T10" s="243"/>
      <c r="U10" s="243"/>
    </row>
    <row r="11" spans="1:21">
      <c r="C11" s="472" t="s">
        <v>52</v>
      </c>
      <c r="D11" s="473">
        <v>2013</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10</v>
      </c>
      <c r="E12" s="472" t="s">
        <v>55</v>
      </c>
      <c r="F12" s="408"/>
      <c r="G12" s="220"/>
      <c r="H12" s="220"/>
      <c r="I12" s="476">
        <f>OKT.WS.F.BPU.ATRR.Projected!$F$79</f>
        <v>0.11475877389767174</v>
      </c>
      <c r="J12" s="413"/>
      <c r="K12" s="145" t="s">
        <v>56</v>
      </c>
      <c r="O12" s="278"/>
      <c r="P12" s="278"/>
      <c r="R12" s="243"/>
      <c r="S12" s="243"/>
      <c r="T12" s="243"/>
      <c r="U12" s="243"/>
    </row>
    <row r="13" spans="1:21">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145973.15151515152</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73" si="0">IF(D17=F16,"","IU")</f>
        <v>IU</v>
      </c>
      <c r="C17" s="495">
        <f>IF(D11= "","-",D11)</f>
        <v>2013</v>
      </c>
      <c r="D17" s="612">
        <v>4086696.07</v>
      </c>
      <c r="E17" s="620">
        <v>11782.768994177641</v>
      </c>
      <c r="F17" s="612">
        <v>4074913.3010058221</v>
      </c>
      <c r="G17" s="620">
        <v>123870.72395190655</v>
      </c>
      <c r="H17" s="617">
        <v>123870.72395190655</v>
      </c>
      <c r="I17" s="635">
        <v>0</v>
      </c>
      <c r="J17" s="500"/>
      <c r="K17" s="501">
        <f t="shared" ref="K17:K22" si="1">G17</f>
        <v>123870.72395190655</v>
      </c>
      <c r="L17" s="502">
        <f t="shared" ref="L17:L73" si="2">IF(K17&lt;&gt;0,+G17-K17,0)</f>
        <v>0</v>
      </c>
      <c r="M17" s="501">
        <f t="shared" ref="M17:M22" si="3">H17</f>
        <v>123870.72395190655</v>
      </c>
      <c r="N17" s="503">
        <f t="shared" ref="N17:N73" si="4">IF(M17&lt;&gt;0,+H17-M17,0)</f>
        <v>0</v>
      </c>
      <c r="O17" s="504">
        <f t="shared" ref="O17:O73" si="5">+N17-L17</f>
        <v>0</v>
      </c>
      <c r="P17" s="278"/>
      <c r="R17" s="243"/>
      <c r="S17" s="243"/>
      <c r="T17" s="243"/>
      <c r="U17" s="243"/>
    </row>
    <row r="18" spans="2:21">
      <c r="B18" s="145" t="str">
        <f t="shared" si="0"/>
        <v/>
      </c>
      <c r="C18" s="495">
        <f>IF(D11="","-",+C17+1)</f>
        <v>2014</v>
      </c>
      <c r="D18" s="614">
        <v>4074913.3010058221</v>
      </c>
      <c r="E18" s="613">
        <v>70696.613965065844</v>
      </c>
      <c r="F18" s="614">
        <v>4004216.6870407565</v>
      </c>
      <c r="G18" s="613">
        <v>511269.87430631154</v>
      </c>
      <c r="H18" s="617">
        <v>511269.87430631154</v>
      </c>
      <c r="I18" s="635">
        <v>0</v>
      </c>
      <c r="J18" s="500"/>
      <c r="K18" s="592">
        <f t="shared" si="1"/>
        <v>511269.87430631154</v>
      </c>
      <c r="L18" s="596">
        <f t="shared" si="2"/>
        <v>0</v>
      </c>
      <c r="M18" s="592">
        <f t="shared" si="3"/>
        <v>511269.87430631154</v>
      </c>
      <c r="N18" s="594">
        <f t="shared" si="4"/>
        <v>0</v>
      </c>
      <c r="O18" s="596">
        <f t="shared" si="5"/>
        <v>0</v>
      </c>
      <c r="P18" s="278"/>
      <c r="R18" s="243"/>
      <c r="S18" s="243"/>
      <c r="T18" s="243"/>
      <c r="U18" s="243"/>
    </row>
    <row r="19" spans="2:21">
      <c r="B19" s="145" t="str">
        <f t="shared" si="0"/>
        <v/>
      </c>
      <c r="C19" s="495">
        <f>IF(D11="","-",+C18+1)</f>
        <v>2015</v>
      </c>
      <c r="D19" s="614">
        <v>4004216.6870407565</v>
      </c>
      <c r="E19" s="613">
        <v>70696.613965065844</v>
      </c>
      <c r="F19" s="614">
        <v>3933520.0730756908</v>
      </c>
      <c r="G19" s="613">
        <v>476106.58378878143</v>
      </c>
      <c r="H19" s="617">
        <v>476106.58378878143</v>
      </c>
      <c r="I19" s="584">
        <v>0</v>
      </c>
      <c r="J19" s="500"/>
      <c r="K19" s="592">
        <f t="shared" si="1"/>
        <v>476106.58378878143</v>
      </c>
      <c r="L19" s="596">
        <f>IF(K19&lt;&gt;0,+G19-K19,0)</f>
        <v>0</v>
      </c>
      <c r="M19" s="592">
        <f t="shared" si="3"/>
        <v>476106.58378878143</v>
      </c>
      <c r="N19" s="594">
        <f>IF(M19&lt;&gt;0,+H19-M19,0)</f>
        <v>0</v>
      </c>
      <c r="O19" s="596">
        <f>+N19-L19</f>
        <v>0</v>
      </c>
      <c r="P19" s="278"/>
      <c r="R19" s="243"/>
      <c r="S19" s="243"/>
      <c r="T19" s="243"/>
      <c r="U19" s="243"/>
    </row>
    <row r="20" spans="2:21">
      <c r="B20" s="145" t="str">
        <f t="shared" si="0"/>
        <v/>
      </c>
      <c r="C20" s="495">
        <f>IF(D11="","-",+C19+1)</f>
        <v>2016</v>
      </c>
      <c r="D20" s="614">
        <v>3933520.0730756908</v>
      </c>
      <c r="E20" s="613">
        <v>84919.313620452886</v>
      </c>
      <c r="F20" s="614">
        <v>3848600.759455238</v>
      </c>
      <c r="G20" s="613">
        <v>500107.78781700449</v>
      </c>
      <c r="H20" s="617">
        <v>500107.78781700449</v>
      </c>
      <c r="I20" s="500">
        <f>H20-G20</f>
        <v>0</v>
      </c>
      <c r="J20" s="500"/>
      <c r="K20" s="592">
        <f t="shared" si="1"/>
        <v>500107.78781700449</v>
      </c>
      <c r="L20" s="596">
        <f>IF(K20&lt;&gt;0,+G20-K20,0)</f>
        <v>0</v>
      </c>
      <c r="M20" s="592">
        <f t="shared" si="3"/>
        <v>500107.78781700449</v>
      </c>
      <c r="N20" s="504">
        <f t="shared" si="4"/>
        <v>0</v>
      </c>
      <c r="O20" s="504">
        <f t="shared" si="5"/>
        <v>0</v>
      </c>
      <c r="P20" s="278"/>
      <c r="R20" s="243"/>
      <c r="S20" s="243"/>
      <c r="T20" s="243"/>
      <c r="U20" s="243"/>
    </row>
    <row r="21" spans="2:21">
      <c r="B21" s="145" t="str">
        <f t="shared" si="0"/>
        <v>IU</v>
      </c>
      <c r="C21" s="495">
        <f>IF(D11="","-",+C20+1)</f>
        <v>2017</v>
      </c>
      <c r="D21" s="614">
        <v>4561942.6894552382</v>
      </c>
      <c r="E21" s="613">
        <v>94378.250117010364</v>
      </c>
      <c r="F21" s="614">
        <v>4467564.4393382277</v>
      </c>
      <c r="G21" s="613">
        <v>590730.13217900996</v>
      </c>
      <c r="H21" s="617">
        <v>590730.13217900996</v>
      </c>
      <c r="I21" s="500">
        <f t="shared" ref="I21:I73" si="6">H21-G21</f>
        <v>0</v>
      </c>
      <c r="J21" s="500"/>
      <c r="K21" s="592">
        <f t="shared" si="1"/>
        <v>590730.13217900996</v>
      </c>
      <c r="L21" s="596">
        <f>IF(K21&lt;&gt;0,+G21-K21,0)</f>
        <v>0</v>
      </c>
      <c r="M21" s="592">
        <f t="shared" si="3"/>
        <v>590730.13217900996</v>
      </c>
      <c r="N21" s="504">
        <f>IF(M21&lt;&gt;0,+H21-M21,0)</f>
        <v>0</v>
      </c>
      <c r="O21" s="504">
        <f>+N21-L21</f>
        <v>0</v>
      </c>
      <c r="P21" s="278"/>
      <c r="R21" s="243"/>
      <c r="S21" s="243"/>
      <c r="T21" s="243"/>
      <c r="U21" s="243"/>
    </row>
    <row r="22" spans="2:21">
      <c r="B22" s="145" t="str">
        <f t="shared" si="0"/>
        <v>IU</v>
      </c>
      <c r="C22" s="495">
        <f>IF(D11="","-",+C21+1)</f>
        <v>2018</v>
      </c>
      <c r="D22" s="614"/>
      <c r="E22" s="613"/>
      <c r="F22" s="614"/>
      <c r="G22" s="613"/>
      <c r="H22" s="617"/>
      <c r="I22" s="500">
        <v>0</v>
      </c>
      <c r="J22" s="500"/>
      <c r="K22" s="592">
        <f t="shared" si="1"/>
        <v>0</v>
      </c>
      <c r="L22" s="596">
        <f>IF(K22&lt;&gt;0,+G22-K22,0)</f>
        <v>0</v>
      </c>
      <c r="M22" s="592">
        <f t="shared" si="3"/>
        <v>0</v>
      </c>
      <c r="N22" s="504">
        <f>IF(M22&lt;&gt;0,+H22-M22,0)</f>
        <v>0</v>
      </c>
      <c r="O22" s="504">
        <f>+N22-L22</f>
        <v>0</v>
      </c>
      <c r="P22" s="278"/>
      <c r="R22" s="243"/>
      <c r="S22" s="243"/>
      <c r="T22" s="243"/>
      <c r="U22" s="243"/>
    </row>
    <row r="23" spans="2:21">
      <c r="B23" s="145" t="str">
        <f t="shared" si="0"/>
        <v/>
      </c>
      <c r="C23" s="495">
        <f>IF(D11="","-",+C22+1)</f>
        <v>2019</v>
      </c>
      <c r="D23" s="508">
        <v>0</v>
      </c>
      <c r="E23" s="509">
        <f t="shared" ref="E23:E73" si="7">IF(+$I$14&lt;F22,$I$14,D23)</f>
        <v>0</v>
      </c>
      <c r="F23" s="510">
        <f t="shared" ref="F23:F73" si="8">+D23-E23</f>
        <v>0</v>
      </c>
      <c r="G23" s="511">
        <f t="shared" ref="G23:G73" si="9">(D23+F23)/2*I$12+E23</f>
        <v>0</v>
      </c>
      <c r="H23" s="477">
        <f t="shared" ref="H23:H73" si="10">+(D23+F23)/2*I$13+E23</f>
        <v>0</v>
      </c>
      <c r="I23" s="500">
        <f t="shared" si="6"/>
        <v>0</v>
      </c>
      <c r="J23" s="500"/>
      <c r="K23" s="512"/>
      <c r="L23" s="504">
        <f t="shared" si="2"/>
        <v>0</v>
      </c>
      <c r="M23" s="512"/>
      <c r="N23" s="504">
        <f t="shared" si="4"/>
        <v>0</v>
      </c>
      <c r="O23" s="504">
        <f t="shared" si="5"/>
        <v>0</v>
      </c>
      <c r="P23" s="278"/>
      <c r="R23" s="243"/>
      <c r="S23" s="243"/>
      <c r="T23" s="243"/>
      <c r="U23" s="243"/>
    </row>
    <row r="24" spans="2:21">
      <c r="B24" s="145" t="str">
        <f t="shared" si="0"/>
        <v/>
      </c>
      <c r="C24" s="495">
        <f>IF(D11="","-",+C23+1)</f>
        <v>2020</v>
      </c>
      <c r="D24" s="508">
        <v>0</v>
      </c>
      <c r="E24" s="509">
        <v>0</v>
      </c>
      <c r="F24" s="510">
        <f t="shared" si="8"/>
        <v>0</v>
      </c>
      <c r="G24" s="511">
        <f t="shared" si="9"/>
        <v>0</v>
      </c>
      <c r="H24" s="477">
        <f t="shared" si="10"/>
        <v>0</v>
      </c>
      <c r="I24" s="500">
        <f t="shared" si="6"/>
        <v>0</v>
      </c>
      <c r="J24" s="500"/>
      <c r="K24" s="512"/>
      <c r="L24" s="504">
        <f t="shared" si="2"/>
        <v>0</v>
      </c>
      <c r="M24" s="512"/>
      <c r="N24" s="504">
        <f t="shared" si="4"/>
        <v>0</v>
      </c>
      <c r="O24" s="504">
        <f t="shared" si="5"/>
        <v>0</v>
      </c>
      <c r="P24" s="278"/>
      <c r="R24" s="243"/>
      <c r="S24" s="243"/>
      <c r="T24" s="243"/>
      <c r="U24" s="243"/>
    </row>
    <row r="25" spans="2:21">
      <c r="B25" s="145" t="str">
        <f t="shared" si="0"/>
        <v/>
      </c>
      <c r="C25" s="495">
        <f>IF(D11="","-",+C24+1)</f>
        <v>2021</v>
      </c>
      <c r="D25" s="508">
        <v>0</v>
      </c>
      <c r="E25" s="509">
        <f t="shared" si="7"/>
        <v>0</v>
      </c>
      <c r="F25" s="510">
        <f t="shared" si="8"/>
        <v>0</v>
      </c>
      <c r="G25" s="511">
        <f t="shared" si="9"/>
        <v>0</v>
      </c>
      <c r="H25" s="477">
        <f t="shared" si="10"/>
        <v>0</v>
      </c>
      <c r="I25" s="500">
        <f t="shared" si="6"/>
        <v>0</v>
      </c>
      <c r="J25" s="500"/>
      <c r="K25" s="512"/>
      <c r="L25" s="504">
        <f t="shared" si="2"/>
        <v>0</v>
      </c>
      <c r="M25" s="512"/>
      <c r="N25" s="504">
        <f t="shared" si="4"/>
        <v>0</v>
      </c>
      <c r="O25" s="504">
        <f t="shared" si="5"/>
        <v>0</v>
      </c>
      <c r="P25" s="278"/>
      <c r="R25" s="243"/>
      <c r="S25" s="243"/>
      <c r="T25" s="243"/>
      <c r="U25" s="243"/>
    </row>
    <row r="26" spans="2:21">
      <c r="B26" s="145" t="str">
        <f t="shared" si="0"/>
        <v/>
      </c>
      <c r="C26" s="495">
        <f>IF(D11="","-",+C25+1)</f>
        <v>2022</v>
      </c>
      <c r="D26" s="508">
        <v>0</v>
      </c>
      <c r="E26" s="509">
        <f t="shared" si="7"/>
        <v>0</v>
      </c>
      <c r="F26" s="510">
        <f t="shared" si="8"/>
        <v>0</v>
      </c>
      <c r="G26" s="511">
        <f t="shared" si="9"/>
        <v>0</v>
      </c>
      <c r="H26" s="477">
        <f t="shared" si="10"/>
        <v>0</v>
      </c>
      <c r="I26" s="500">
        <f t="shared" si="6"/>
        <v>0</v>
      </c>
      <c r="J26" s="500"/>
      <c r="K26" s="512"/>
      <c r="L26" s="504">
        <f t="shared" si="2"/>
        <v>0</v>
      </c>
      <c r="M26" s="512"/>
      <c r="N26" s="504">
        <f t="shared" si="4"/>
        <v>0</v>
      </c>
      <c r="O26" s="504">
        <f t="shared" si="5"/>
        <v>0</v>
      </c>
      <c r="P26" s="278"/>
      <c r="R26" s="243"/>
      <c r="S26" s="243"/>
      <c r="T26" s="243"/>
      <c r="U26" s="243"/>
    </row>
    <row r="27" spans="2:21">
      <c r="B27" s="145" t="str">
        <f t="shared" si="0"/>
        <v/>
      </c>
      <c r="C27" s="495">
        <f>IF(D11="","-",+C26+1)</f>
        <v>2023</v>
      </c>
      <c r="D27" s="508">
        <v>0</v>
      </c>
      <c r="E27" s="509">
        <f t="shared" ref="E27" si="11">IF(+$I$14&lt;F26,$I$14,D27)</f>
        <v>0</v>
      </c>
      <c r="F27" s="510">
        <f t="shared" ref="F27" si="12">+D27-E27</f>
        <v>0</v>
      </c>
      <c r="G27" s="511">
        <f t="shared" ref="G27" si="13">(D27+F27)/2*I$12+E27</f>
        <v>0</v>
      </c>
      <c r="H27" s="477">
        <f t="shared" ref="H27" si="14">+(D27+F27)/2*I$13+E27</f>
        <v>0</v>
      </c>
      <c r="I27" s="500">
        <f t="shared" si="6"/>
        <v>0</v>
      </c>
      <c r="J27" s="500"/>
      <c r="K27" s="512"/>
      <c r="L27" s="504">
        <f t="shared" si="2"/>
        <v>0</v>
      </c>
      <c r="M27" s="512"/>
      <c r="N27" s="504">
        <f t="shared" si="4"/>
        <v>0</v>
      </c>
      <c r="O27" s="504">
        <f t="shared" si="5"/>
        <v>0</v>
      </c>
      <c r="P27" s="278"/>
      <c r="R27" s="243"/>
      <c r="S27" s="243"/>
      <c r="T27" s="243"/>
      <c r="U27" s="243"/>
    </row>
    <row r="28" spans="2:21">
      <c r="B28" s="145" t="str">
        <f t="shared" si="0"/>
        <v>IU</v>
      </c>
      <c r="C28" s="495">
        <f>IF(D11="","-",+C27+1)</f>
        <v>2024</v>
      </c>
      <c r="D28" s="508">
        <f>IF(F27+SUM(E$17:E27)=D$10,F27,D$10-SUM(E$17:E27))</f>
        <v>4484640.4393382277</v>
      </c>
      <c r="E28" s="509">
        <f t="shared" si="7"/>
        <v>4484640.4393382277</v>
      </c>
      <c r="F28" s="510">
        <f t="shared" si="8"/>
        <v>0</v>
      </c>
      <c r="G28" s="511">
        <f t="shared" si="9"/>
        <v>4741966.3584334133</v>
      </c>
      <c r="H28" s="477">
        <f t="shared" si="10"/>
        <v>4741966.3584334133</v>
      </c>
      <c r="I28" s="500">
        <f t="shared" si="6"/>
        <v>0</v>
      </c>
      <c r="J28" s="500"/>
      <c r="K28" s="512"/>
      <c r="L28" s="504">
        <f t="shared" si="2"/>
        <v>0</v>
      </c>
      <c r="M28" s="512"/>
      <c r="N28" s="504">
        <f t="shared" si="4"/>
        <v>0</v>
      </c>
      <c r="O28" s="504">
        <f t="shared" si="5"/>
        <v>0</v>
      </c>
      <c r="P28" s="278"/>
      <c r="R28" s="243"/>
      <c r="S28" s="243"/>
      <c r="T28" s="243"/>
      <c r="U28" s="243"/>
    </row>
    <row r="29" spans="2:21">
      <c r="B29" s="145" t="str">
        <f t="shared" si="0"/>
        <v/>
      </c>
      <c r="C29" s="495">
        <f>IF(D11="","-",+C28+1)</f>
        <v>2025</v>
      </c>
      <c r="D29" s="508">
        <f>IF(F28+SUM(E$17:E28)=D$10,F28,D$10-SUM(E$17:E28))</f>
        <v>0</v>
      </c>
      <c r="E29" s="509">
        <f t="shared" si="7"/>
        <v>0</v>
      </c>
      <c r="F29" s="510">
        <f t="shared" si="8"/>
        <v>0</v>
      </c>
      <c r="G29" s="511">
        <f t="shared" si="9"/>
        <v>0</v>
      </c>
      <c r="H29" s="477">
        <f t="shared" si="10"/>
        <v>0</v>
      </c>
      <c r="I29" s="500">
        <f t="shared" si="6"/>
        <v>0</v>
      </c>
      <c r="J29" s="500"/>
      <c r="K29" s="512"/>
      <c r="L29" s="504">
        <f t="shared" si="2"/>
        <v>0</v>
      </c>
      <c r="M29" s="512"/>
      <c r="N29" s="504">
        <f t="shared" si="4"/>
        <v>0</v>
      </c>
      <c r="O29" s="504">
        <f t="shared" si="5"/>
        <v>0</v>
      </c>
      <c r="P29" s="278"/>
      <c r="R29" s="243"/>
      <c r="S29" s="243"/>
      <c r="T29" s="243"/>
      <c r="U29" s="243"/>
    </row>
    <row r="30" spans="2:21">
      <c r="B30" s="145" t="str">
        <f t="shared" si="0"/>
        <v/>
      </c>
      <c r="C30" s="495">
        <f>IF(D11="","-",+C29+1)</f>
        <v>2026</v>
      </c>
      <c r="D30" s="508">
        <f>IF(F29+SUM(E$17:E29)=D$10,F29,D$10-SUM(E$17:E29))</f>
        <v>0</v>
      </c>
      <c r="E30" s="509">
        <f t="shared" si="7"/>
        <v>0</v>
      </c>
      <c r="F30" s="510">
        <f t="shared" si="8"/>
        <v>0</v>
      </c>
      <c r="G30" s="511">
        <f t="shared" si="9"/>
        <v>0</v>
      </c>
      <c r="H30" s="477">
        <f t="shared" si="10"/>
        <v>0</v>
      </c>
      <c r="I30" s="500">
        <f t="shared" si="6"/>
        <v>0</v>
      </c>
      <c r="J30" s="500"/>
      <c r="K30" s="512"/>
      <c r="L30" s="504">
        <f t="shared" si="2"/>
        <v>0</v>
      </c>
      <c r="M30" s="512"/>
      <c r="N30" s="504">
        <f t="shared" si="4"/>
        <v>0</v>
      </c>
      <c r="O30" s="504">
        <f t="shared" si="5"/>
        <v>0</v>
      </c>
      <c r="P30" s="278"/>
      <c r="R30" s="243"/>
      <c r="S30" s="243"/>
      <c r="T30" s="243"/>
      <c r="U30" s="243"/>
    </row>
    <row r="31" spans="2:21">
      <c r="B31" s="145" t="str">
        <f t="shared" si="0"/>
        <v/>
      </c>
      <c r="C31" s="495">
        <f>IF(D11="","-",+C30+1)</f>
        <v>2027</v>
      </c>
      <c r="D31" s="508">
        <f>IF(F30+SUM(E$17:E30)=D$10,F30,D$10-SUM(E$17:E30))</f>
        <v>0</v>
      </c>
      <c r="E31" s="509">
        <f t="shared" si="7"/>
        <v>0</v>
      </c>
      <c r="F31" s="510">
        <f t="shared" si="8"/>
        <v>0</v>
      </c>
      <c r="G31" s="511">
        <f t="shared" si="9"/>
        <v>0</v>
      </c>
      <c r="H31" s="477">
        <f t="shared" si="10"/>
        <v>0</v>
      </c>
      <c r="I31" s="500">
        <f t="shared" si="6"/>
        <v>0</v>
      </c>
      <c r="J31" s="500"/>
      <c r="K31" s="512"/>
      <c r="L31" s="504">
        <f t="shared" si="2"/>
        <v>0</v>
      </c>
      <c r="M31" s="512"/>
      <c r="N31" s="504">
        <f t="shared" si="4"/>
        <v>0</v>
      </c>
      <c r="O31" s="504">
        <f t="shared" si="5"/>
        <v>0</v>
      </c>
      <c r="P31" s="278"/>
      <c r="Q31" s="220"/>
      <c r="R31" s="278"/>
      <c r="S31" s="278"/>
      <c r="T31" s="278"/>
      <c r="U31" s="243"/>
    </row>
    <row r="32" spans="2:21">
      <c r="B32" s="145" t="str">
        <f t="shared" si="0"/>
        <v/>
      </c>
      <c r="C32" s="495">
        <f>IF(D12="","-",+C31+1)</f>
        <v>2028</v>
      </c>
      <c r="D32" s="508">
        <f>IF(F31+SUM(E$17:E31)=D$10,F31,D$10-SUM(E$17:E31))</f>
        <v>0</v>
      </c>
      <c r="E32" s="509">
        <f>IF(+$I$14&lt;F31,$I$14,D32)</f>
        <v>0</v>
      </c>
      <c r="F32" s="510">
        <f>+D32-E32</f>
        <v>0</v>
      </c>
      <c r="G32" s="511">
        <f t="shared" si="9"/>
        <v>0</v>
      </c>
      <c r="H32" s="477">
        <f t="shared" si="10"/>
        <v>0</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2029</v>
      </c>
      <c r="D33" s="508">
        <f>IF(F32+SUM(E$17:E32)=D$10,F32,D$10-SUM(E$17:E32))</f>
        <v>0</v>
      </c>
      <c r="E33" s="509">
        <f>IF(+$I$14&lt;F32,$I$14,D33)</f>
        <v>0</v>
      </c>
      <c r="F33" s="510">
        <f>+D33-E33</f>
        <v>0</v>
      </c>
      <c r="G33" s="511">
        <f t="shared" si="9"/>
        <v>0</v>
      </c>
      <c r="H33" s="477">
        <f t="shared" si="10"/>
        <v>0</v>
      </c>
      <c r="I33" s="500">
        <f>H33-G33</f>
        <v>0</v>
      </c>
      <c r="J33" s="500"/>
      <c r="K33" s="512"/>
      <c r="L33" s="504">
        <f>IF(K33&lt;&gt;0,+G33-K33,0)</f>
        <v>0</v>
      </c>
      <c r="M33" s="512"/>
      <c r="N33" s="504">
        <f>IF(M33&lt;&gt;0,+H33-M33,0)</f>
        <v>0</v>
      </c>
      <c r="O33" s="504">
        <f>+N33-L33</f>
        <v>0</v>
      </c>
      <c r="P33" s="278"/>
      <c r="R33" s="243"/>
      <c r="S33" s="243"/>
      <c r="T33" s="243"/>
      <c r="U33" s="243"/>
    </row>
    <row r="34" spans="2:21">
      <c r="B34" s="145" t="str">
        <f t="shared" si="0"/>
        <v/>
      </c>
      <c r="C34" s="513">
        <f>IF(D11="","-",+C33+1)</f>
        <v>2030</v>
      </c>
      <c r="D34" s="514">
        <f>IF(F33+SUM(E$17:E33)=D$10,F33,D$10-SUM(E$17:E33))</f>
        <v>0</v>
      </c>
      <c r="E34" s="515">
        <f t="shared" si="7"/>
        <v>0</v>
      </c>
      <c r="F34" s="516">
        <f t="shared" si="8"/>
        <v>0</v>
      </c>
      <c r="G34" s="511">
        <f t="shared" si="9"/>
        <v>0</v>
      </c>
      <c r="H34" s="477">
        <f t="shared" si="10"/>
        <v>0</v>
      </c>
      <c r="I34" s="519">
        <f t="shared" si="6"/>
        <v>0</v>
      </c>
      <c r="J34" s="519"/>
      <c r="K34" s="520"/>
      <c r="L34" s="521">
        <f t="shared" si="2"/>
        <v>0</v>
      </c>
      <c r="M34" s="520"/>
      <c r="N34" s="521">
        <f t="shared" si="4"/>
        <v>0</v>
      </c>
      <c r="O34" s="521">
        <f t="shared" si="5"/>
        <v>0</v>
      </c>
      <c r="P34" s="522"/>
      <c r="Q34" s="216"/>
      <c r="R34" s="522"/>
      <c r="S34" s="522"/>
      <c r="T34" s="522"/>
      <c r="U34" s="243"/>
    </row>
    <row r="35" spans="2:21">
      <c r="B35" s="145" t="str">
        <f t="shared" si="0"/>
        <v/>
      </c>
      <c r="C35" s="495">
        <f>IF(D11="","-",+C34+1)</f>
        <v>2031</v>
      </c>
      <c r="D35" s="508">
        <f>IF(F34+SUM(E$17:E34)=D$10,F34,D$10-SUM(E$17:E34))</f>
        <v>0</v>
      </c>
      <c r="E35" s="509">
        <f t="shared" si="7"/>
        <v>0</v>
      </c>
      <c r="F35" s="510">
        <f t="shared" si="8"/>
        <v>0</v>
      </c>
      <c r="G35" s="511">
        <f t="shared" si="9"/>
        <v>0</v>
      </c>
      <c r="H35" s="477">
        <f t="shared" si="10"/>
        <v>0</v>
      </c>
      <c r="I35" s="500">
        <f t="shared" si="6"/>
        <v>0</v>
      </c>
      <c r="J35" s="500"/>
      <c r="K35" s="512"/>
      <c r="L35" s="504">
        <f t="shared" si="2"/>
        <v>0</v>
      </c>
      <c r="M35" s="512"/>
      <c r="N35" s="504">
        <f t="shared" si="4"/>
        <v>0</v>
      </c>
      <c r="O35" s="504">
        <f t="shared" si="5"/>
        <v>0</v>
      </c>
      <c r="P35" s="278"/>
      <c r="R35" s="243"/>
      <c r="S35" s="243"/>
      <c r="T35" s="243"/>
      <c r="U35" s="243"/>
    </row>
    <row r="36" spans="2:21">
      <c r="B36" s="145" t="str">
        <f t="shared" si="0"/>
        <v/>
      </c>
      <c r="C36" s="495">
        <f>IF(D11="","-",+C35+1)</f>
        <v>2032</v>
      </c>
      <c r="D36" s="508">
        <f>IF(F35+SUM(E$17:E35)=D$10,F35,D$10-SUM(E$17:E35))</f>
        <v>0</v>
      </c>
      <c r="E36" s="509">
        <f t="shared" si="7"/>
        <v>0</v>
      </c>
      <c r="F36" s="510">
        <f t="shared" si="8"/>
        <v>0</v>
      </c>
      <c r="G36" s="511">
        <f t="shared" si="9"/>
        <v>0</v>
      </c>
      <c r="H36" s="477">
        <f t="shared" si="10"/>
        <v>0</v>
      </c>
      <c r="I36" s="500">
        <f t="shared" si="6"/>
        <v>0</v>
      </c>
      <c r="J36" s="500"/>
      <c r="K36" s="512"/>
      <c r="L36" s="504">
        <f t="shared" si="2"/>
        <v>0</v>
      </c>
      <c r="M36" s="512"/>
      <c r="N36" s="504">
        <f t="shared" si="4"/>
        <v>0</v>
      </c>
      <c r="O36" s="504">
        <f t="shared" si="5"/>
        <v>0</v>
      </c>
      <c r="P36" s="278"/>
      <c r="R36" s="243"/>
      <c r="S36" s="243"/>
      <c r="T36" s="243"/>
      <c r="U36" s="243"/>
    </row>
    <row r="37" spans="2:21">
      <c r="B37" s="145" t="str">
        <f t="shared" si="0"/>
        <v/>
      </c>
      <c r="C37" s="495">
        <f>IF(D11="","-",+C36+1)</f>
        <v>2033</v>
      </c>
      <c r="D37" s="508">
        <f>IF(F36+SUM(E$17:E36)=D$10,F36,D$10-SUM(E$17:E36))</f>
        <v>0</v>
      </c>
      <c r="E37" s="509">
        <f t="shared" si="7"/>
        <v>0</v>
      </c>
      <c r="F37" s="510">
        <f t="shared" si="8"/>
        <v>0</v>
      </c>
      <c r="G37" s="511">
        <f t="shared" si="9"/>
        <v>0</v>
      </c>
      <c r="H37" s="477">
        <f t="shared" si="10"/>
        <v>0</v>
      </c>
      <c r="I37" s="500">
        <f t="shared" si="6"/>
        <v>0</v>
      </c>
      <c r="J37" s="500"/>
      <c r="K37" s="512"/>
      <c r="L37" s="504">
        <f t="shared" si="2"/>
        <v>0</v>
      </c>
      <c r="M37" s="512"/>
      <c r="N37" s="504">
        <f t="shared" si="4"/>
        <v>0</v>
      </c>
      <c r="O37" s="504">
        <f t="shared" si="5"/>
        <v>0</v>
      </c>
      <c r="P37" s="278"/>
      <c r="R37" s="243"/>
      <c r="S37" s="243"/>
      <c r="T37" s="243"/>
      <c r="U37" s="243"/>
    </row>
    <row r="38" spans="2:21">
      <c r="B38" s="145" t="str">
        <f t="shared" si="0"/>
        <v/>
      </c>
      <c r="C38" s="495">
        <f>IF(D11="","-",+C37+1)</f>
        <v>2034</v>
      </c>
      <c r="D38" s="508">
        <f>IF(F37+SUM(E$17:E37)=D$10,F37,D$10-SUM(E$17:E37))</f>
        <v>0</v>
      </c>
      <c r="E38" s="509">
        <f t="shared" si="7"/>
        <v>0</v>
      </c>
      <c r="F38" s="510">
        <f t="shared" si="8"/>
        <v>0</v>
      </c>
      <c r="G38" s="511">
        <f t="shared" si="9"/>
        <v>0</v>
      </c>
      <c r="H38" s="477">
        <f t="shared" si="10"/>
        <v>0</v>
      </c>
      <c r="I38" s="500">
        <f t="shared" si="6"/>
        <v>0</v>
      </c>
      <c r="J38" s="500"/>
      <c r="K38" s="512"/>
      <c r="L38" s="504">
        <f t="shared" si="2"/>
        <v>0</v>
      </c>
      <c r="M38" s="512"/>
      <c r="N38" s="504">
        <f t="shared" si="4"/>
        <v>0</v>
      </c>
      <c r="O38" s="504">
        <f t="shared" si="5"/>
        <v>0</v>
      </c>
      <c r="P38" s="278"/>
      <c r="R38" s="243"/>
      <c r="S38" s="243"/>
      <c r="T38" s="243"/>
      <c r="U38" s="243"/>
    </row>
    <row r="39" spans="2:21">
      <c r="B39" s="145" t="str">
        <f t="shared" si="0"/>
        <v/>
      </c>
      <c r="C39" s="495">
        <f>IF(D11="","-",+C38+1)</f>
        <v>2035</v>
      </c>
      <c r="D39" s="508">
        <f>IF(F38+SUM(E$17:E38)=D$10,F38,D$10-SUM(E$17:E38))</f>
        <v>0</v>
      </c>
      <c r="E39" s="509">
        <f t="shared" si="7"/>
        <v>0</v>
      </c>
      <c r="F39" s="510">
        <f t="shared" si="8"/>
        <v>0</v>
      </c>
      <c r="G39" s="511">
        <f t="shared" si="9"/>
        <v>0</v>
      </c>
      <c r="H39" s="477">
        <f t="shared" si="10"/>
        <v>0</v>
      </c>
      <c r="I39" s="500">
        <f t="shared" si="6"/>
        <v>0</v>
      </c>
      <c r="J39" s="500"/>
      <c r="K39" s="512"/>
      <c r="L39" s="504">
        <f t="shared" si="2"/>
        <v>0</v>
      </c>
      <c r="M39" s="512"/>
      <c r="N39" s="504">
        <f t="shared" si="4"/>
        <v>0</v>
      </c>
      <c r="O39" s="504">
        <f t="shared" si="5"/>
        <v>0</v>
      </c>
      <c r="P39" s="278"/>
      <c r="R39" s="243"/>
      <c r="S39" s="243"/>
      <c r="T39" s="243"/>
      <c r="U39" s="243"/>
    </row>
    <row r="40" spans="2:21">
      <c r="B40" s="145" t="str">
        <f t="shared" si="0"/>
        <v/>
      </c>
      <c r="C40" s="495">
        <f>IF(D11="","-",+C39+1)</f>
        <v>2036</v>
      </c>
      <c r="D40" s="508">
        <f>IF(F39+SUM(E$17:E39)=D$10,F39,D$10-SUM(E$17:E39))</f>
        <v>0</v>
      </c>
      <c r="E40" s="509">
        <f t="shared" si="7"/>
        <v>0</v>
      </c>
      <c r="F40" s="510">
        <f t="shared" si="8"/>
        <v>0</v>
      </c>
      <c r="G40" s="511">
        <f t="shared" si="9"/>
        <v>0</v>
      </c>
      <c r="H40" s="477">
        <f t="shared" si="10"/>
        <v>0</v>
      </c>
      <c r="I40" s="500">
        <f t="shared" si="6"/>
        <v>0</v>
      </c>
      <c r="J40" s="500"/>
      <c r="K40" s="512"/>
      <c r="L40" s="504">
        <f t="shared" si="2"/>
        <v>0</v>
      </c>
      <c r="M40" s="512"/>
      <c r="N40" s="504">
        <f t="shared" si="4"/>
        <v>0</v>
      </c>
      <c r="O40" s="504">
        <f t="shared" si="5"/>
        <v>0</v>
      </c>
      <c r="P40" s="278"/>
      <c r="R40" s="243"/>
      <c r="S40" s="243"/>
      <c r="T40" s="243"/>
      <c r="U40" s="243"/>
    </row>
    <row r="41" spans="2:21">
      <c r="B41" s="145" t="str">
        <f t="shared" si="0"/>
        <v/>
      </c>
      <c r="C41" s="495">
        <f>IF(D12="","-",+C40+1)</f>
        <v>2037</v>
      </c>
      <c r="D41" s="508">
        <f>IF(F40+SUM(E$17:E40)=D$10,F40,D$10-SUM(E$17:E40))</f>
        <v>0</v>
      </c>
      <c r="E41" s="509">
        <f t="shared" si="7"/>
        <v>0</v>
      </c>
      <c r="F41" s="510">
        <f t="shared" si="8"/>
        <v>0</v>
      </c>
      <c r="G41" s="511">
        <f t="shared" si="9"/>
        <v>0</v>
      </c>
      <c r="H41" s="477">
        <f t="shared" si="10"/>
        <v>0</v>
      </c>
      <c r="I41" s="500">
        <f t="shared" si="6"/>
        <v>0</v>
      </c>
      <c r="J41" s="500"/>
      <c r="K41" s="512"/>
      <c r="L41" s="504">
        <f t="shared" si="2"/>
        <v>0</v>
      </c>
      <c r="M41" s="512"/>
      <c r="N41" s="504">
        <f t="shared" si="4"/>
        <v>0</v>
      </c>
      <c r="O41" s="504">
        <f t="shared" si="5"/>
        <v>0</v>
      </c>
      <c r="P41" s="278"/>
      <c r="R41" s="243"/>
      <c r="S41" s="243"/>
      <c r="T41" s="243"/>
      <c r="U41" s="243"/>
    </row>
    <row r="42" spans="2:21">
      <c r="B42" s="145" t="str">
        <f t="shared" si="0"/>
        <v/>
      </c>
      <c r="C42" s="495">
        <f>IF(D13="","-",+C41+1)</f>
        <v>2038</v>
      </c>
      <c r="D42" s="508">
        <f>IF(F41+SUM(E$17:E41)=D$10,F41,D$10-SUM(E$17:E41))</f>
        <v>0</v>
      </c>
      <c r="E42" s="509">
        <f t="shared" si="7"/>
        <v>0</v>
      </c>
      <c r="F42" s="510">
        <f t="shared" si="8"/>
        <v>0</v>
      </c>
      <c r="G42" s="511">
        <f t="shared" si="9"/>
        <v>0</v>
      </c>
      <c r="H42" s="477">
        <f t="shared" si="10"/>
        <v>0</v>
      </c>
      <c r="I42" s="500">
        <f t="shared" si="6"/>
        <v>0</v>
      </c>
      <c r="J42" s="500"/>
      <c r="K42" s="512"/>
      <c r="L42" s="504">
        <f t="shared" si="2"/>
        <v>0</v>
      </c>
      <c r="M42" s="512"/>
      <c r="N42" s="504">
        <f t="shared" si="4"/>
        <v>0</v>
      </c>
      <c r="O42" s="504">
        <f t="shared" si="5"/>
        <v>0</v>
      </c>
      <c r="P42" s="278"/>
      <c r="R42" s="243"/>
      <c r="S42" s="243"/>
      <c r="T42" s="243"/>
      <c r="U42" s="243"/>
    </row>
    <row r="43" spans="2:21">
      <c r="B43" s="145" t="str">
        <f t="shared" si="0"/>
        <v/>
      </c>
      <c r="C43" s="495">
        <f>IF(D11="","-",+C42+1)</f>
        <v>2039</v>
      </c>
      <c r="D43" s="508">
        <f>IF(F42+SUM(E$17:E42)=D$10,F42,D$10-SUM(E$17:E42))</f>
        <v>0</v>
      </c>
      <c r="E43" s="509">
        <f t="shared" si="7"/>
        <v>0</v>
      </c>
      <c r="F43" s="510">
        <f t="shared" si="8"/>
        <v>0</v>
      </c>
      <c r="G43" s="511">
        <f t="shared" si="9"/>
        <v>0</v>
      </c>
      <c r="H43" s="477">
        <f t="shared" si="10"/>
        <v>0</v>
      </c>
      <c r="I43" s="500">
        <f t="shared" si="6"/>
        <v>0</v>
      </c>
      <c r="J43" s="500"/>
      <c r="K43" s="512"/>
      <c r="L43" s="504">
        <f t="shared" si="2"/>
        <v>0</v>
      </c>
      <c r="M43" s="512"/>
      <c r="N43" s="504">
        <f t="shared" si="4"/>
        <v>0</v>
      </c>
      <c r="O43" s="504">
        <f t="shared" si="5"/>
        <v>0</v>
      </c>
      <c r="P43" s="278"/>
      <c r="R43" s="243"/>
      <c r="S43" s="243"/>
      <c r="T43" s="243"/>
      <c r="U43" s="243"/>
    </row>
    <row r="44" spans="2:21">
      <c r="B44" s="145" t="str">
        <f t="shared" si="0"/>
        <v/>
      </c>
      <c r="C44" s="495">
        <f>IF(D11="","-",+C43+1)</f>
        <v>2040</v>
      </c>
      <c r="D44" s="508">
        <f>IF(F43+SUM(E$17:E43)=D$10,F43,D$10-SUM(E$17:E43))</f>
        <v>0</v>
      </c>
      <c r="E44" s="509">
        <f t="shared" si="7"/>
        <v>0</v>
      </c>
      <c r="F44" s="510">
        <f t="shared" si="8"/>
        <v>0</v>
      </c>
      <c r="G44" s="511">
        <f t="shared" si="9"/>
        <v>0</v>
      </c>
      <c r="H44" s="477">
        <f t="shared" si="10"/>
        <v>0</v>
      </c>
      <c r="I44" s="500">
        <f t="shared" si="6"/>
        <v>0</v>
      </c>
      <c r="J44" s="500"/>
      <c r="K44" s="512"/>
      <c r="L44" s="504">
        <f t="shared" si="2"/>
        <v>0</v>
      </c>
      <c r="M44" s="512"/>
      <c r="N44" s="504">
        <f t="shared" si="4"/>
        <v>0</v>
      </c>
      <c r="O44" s="504">
        <f t="shared" si="5"/>
        <v>0</v>
      </c>
      <c r="P44" s="278"/>
      <c r="R44" s="243"/>
      <c r="S44" s="243"/>
      <c r="T44" s="243"/>
      <c r="U44" s="243"/>
    </row>
    <row r="45" spans="2:21">
      <c r="B45" s="145" t="str">
        <f t="shared" si="0"/>
        <v/>
      </c>
      <c r="C45" s="495">
        <f>IF(D11="","-",+C44+1)</f>
        <v>2041</v>
      </c>
      <c r="D45" s="508">
        <f>IF(F44+SUM(E$17:E44)=D$10,F44,D$10-SUM(E$17:E44))</f>
        <v>0</v>
      </c>
      <c r="E45" s="509">
        <f t="shared" si="7"/>
        <v>0</v>
      </c>
      <c r="F45" s="510">
        <f t="shared" si="8"/>
        <v>0</v>
      </c>
      <c r="G45" s="511">
        <f t="shared" si="9"/>
        <v>0</v>
      </c>
      <c r="H45" s="477">
        <f t="shared" si="10"/>
        <v>0</v>
      </c>
      <c r="I45" s="500">
        <f t="shared" si="6"/>
        <v>0</v>
      </c>
      <c r="J45" s="500"/>
      <c r="K45" s="512"/>
      <c r="L45" s="504">
        <f t="shared" si="2"/>
        <v>0</v>
      </c>
      <c r="M45" s="512"/>
      <c r="N45" s="504">
        <f t="shared" si="4"/>
        <v>0</v>
      </c>
      <c r="O45" s="504">
        <f t="shared" si="5"/>
        <v>0</v>
      </c>
      <c r="P45" s="278"/>
      <c r="R45" s="243"/>
      <c r="S45" s="243"/>
      <c r="T45" s="243"/>
      <c r="U45" s="243"/>
    </row>
    <row r="46" spans="2:21">
      <c r="B46" s="145" t="str">
        <f t="shared" si="0"/>
        <v/>
      </c>
      <c r="C46" s="495">
        <f>IF(D11="","-",+C45+1)</f>
        <v>2042</v>
      </c>
      <c r="D46" s="508">
        <f>IF(F45+SUM(E$17:E45)=D$10,F45,D$10-SUM(E$17:E45))</f>
        <v>0</v>
      </c>
      <c r="E46" s="509">
        <f t="shared" si="7"/>
        <v>0</v>
      </c>
      <c r="F46" s="510">
        <f t="shared" si="8"/>
        <v>0</v>
      </c>
      <c r="G46" s="511">
        <f t="shared" si="9"/>
        <v>0</v>
      </c>
      <c r="H46" s="477">
        <f t="shared" si="10"/>
        <v>0</v>
      </c>
      <c r="I46" s="500">
        <f t="shared" si="6"/>
        <v>0</v>
      </c>
      <c r="J46" s="500"/>
      <c r="K46" s="512"/>
      <c r="L46" s="504">
        <f t="shared" si="2"/>
        <v>0</v>
      </c>
      <c r="M46" s="512"/>
      <c r="N46" s="504">
        <f t="shared" si="4"/>
        <v>0</v>
      </c>
      <c r="O46" s="504">
        <f t="shared" si="5"/>
        <v>0</v>
      </c>
      <c r="P46" s="278"/>
      <c r="R46" s="243"/>
      <c r="S46" s="243"/>
      <c r="T46" s="243"/>
      <c r="U46" s="243"/>
    </row>
    <row r="47" spans="2:21">
      <c r="B47" s="145" t="str">
        <f t="shared" si="0"/>
        <v/>
      </c>
      <c r="C47" s="495">
        <f>IF(D11="","-",+C46+1)</f>
        <v>2043</v>
      </c>
      <c r="D47" s="508">
        <f>IF(F46+SUM(E$17:E46)=D$10,F46,D$10-SUM(E$17:E46))</f>
        <v>0</v>
      </c>
      <c r="E47" s="509">
        <f t="shared" si="7"/>
        <v>0</v>
      </c>
      <c r="F47" s="510">
        <f t="shared" si="8"/>
        <v>0</v>
      </c>
      <c r="G47" s="511">
        <f t="shared" si="9"/>
        <v>0</v>
      </c>
      <c r="H47" s="477">
        <f t="shared" si="10"/>
        <v>0</v>
      </c>
      <c r="I47" s="500">
        <f t="shared" si="6"/>
        <v>0</v>
      </c>
      <c r="J47" s="500"/>
      <c r="K47" s="512"/>
      <c r="L47" s="504">
        <f t="shared" si="2"/>
        <v>0</v>
      </c>
      <c r="M47" s="512"/>
      <c r="N47" s="504">
        <f t="shared" si="4"/>
        <v>0</v>
      </c>
      <c r="O47" s="504">
        <f t="shared" si="5"/>
        <v>0</v>
      </c>
      <c r="P47" s="278"/>
      <c r="R47" s="243"/>
      <c r="S47" s="243"/>
      <c r="T47" s="243"/>
      <c r="U47" s="243"/>
    </row>
    <row r="48" spans="2:21">
      <c r="B48" s="145" t="str">
        <f t="shared" si="0"/>
        <v/>
      </c>
      <c r="C48" s="495">
        <f>IF(D11="","-",+C47+1)</f>
        <v>2044</v>
      </c>
      <c r="D48" s="508">
        <f>IF(F47+SUM(E$17:E47)=D$10,F47,D$10-SUM(E$17:E47))</f>
        <v>0</v>
      </c>
      <c r="E48" s="509">
        <f t="shared" si="7"/>
        <v>0</v>
      </c>
      <c r="F48" s="510">
        <f t="shared" si="8"/>
        <v>0</v>
      </c>
      <c r="G48" s="511">
        <f t="shared" si="9"/>
        <v>0</v>
      </c>
      <c r="H48" s="477">
        <f t="shared" si="10"/>
        <v>0</v>
      </c>
      <c r="I48" s="500">
        <f t="shared" si="6"/>
        <v>0</v>
      </c>
      <c r="J48" s="500"/>
      <c r="K48" s="512"/>
      <c r="L48" s="504">
        <f t="shared" si="2"/>
        <v>0</v>
      </c>
      <c r="M48" s="512"/>
      <c r="N48" s="504">
        <f t="shared" si="4"/>
        <v>0</v>
      </c>
      <c r="O48" s="504">
        <f t="shared" si="5"/>
        <v>0</v>
      </c>
      <c r="P48" s="278"/>
      <c r="R48" s="243"/>
      <c r="S48" s="243"/>
      <c r="T48" s="243"/>
      <c r="U48" s="243"/>
    </row>
    <row r="49" spans="2:21">
      <c r="B49" s="145" t="str">
        <f t="shared" si="0"/>
        <v/>
      </c>
      <c r="C49" s="495">
        <f>IF(D11="","-",+C48+1)</f>
        <v>2045</v>
      </c>
      <c r="D49" s="508">
        <f>IF(F48+SUM(E$17:E48)=D$10,F48,D$10-SUM(E$17:E48))</f>
        <v>0</v>
      </c>
      <c r="E49" s="509">
        <f t="shared" si="7"/>
        <v>0</v>
      </c>
      <c r="F49" s="510">
        <f t="shared" si="8"/>
        <v>0</v>
      </c>
      <c r="G49" s="511">
        <f t="shared" si="9"/>
        <v>0</v>
      </c>
      <c r="H49" s="477">
        <f t="shared" si="10"/>
        <v>0</v>
      </c>
      <c r="I49" s="500">
        <f t="shared" si="6"/>
        <v>0</v>
      </c>
      <c r="J49" s="500"/>
      <c r="K49" s="512"/>
      <c r="L49" s="504">
        <f t="shared" si="2"/>
        <v>0</v>
      </c>
      <c r="M49" s="512"/>
      <c r="N49" s="504">
        <f t="shared" si="4"/>
        <v>0</v>
      </c>
      <c r="O49" s="504">
        <f t="shared" si="5"/>
        <v>0</v>
      </c>
      <c r="P49" s="278"/>
      <c r="R49" s="243"/>
      <c r="S49" s="243"/>
      <c r="T49" s="243"/>
      <c r="U49" s="243"/>
    </row>
    <row r="50" spans="2:21">
      <c r="B50" s="145" t="str">
        <f t="shared" si="0"/>
        <v/>
      </c>
      <c r="C50" s="495">
        <f>IF(D11="","-",+C49+1)</f>
        <v>2046</v>
      </c>
      <c r="D50" s="508">
        <f>IF(F49+SUM(E$17:E49)=D$10,F49,D$10-SUM(E$17:E49))</f>
        <v>0</v>
      </c>
      <c r="E50" s="509">
        <f t="shared" si="7"/>
        <v>0</v>
      </c>
      <c r="F50" s="510">
        <f t="shared" si="8"/>
        <v>0</v>
      </c>
      <c r="G50" s="511">
        <f t="shared" si="9"/>
        <v>0</v>
      </c>
      <c r="H50" s="477">
        <f t="shared" si="10"/>
        <v>0</v>
      </c>
      <c r="I50" s="500">
        <f t="shared" si="6"/>
        <v>0</v>
      </c>
      <c r="J50" s="500"/>
      <c r="K50" s="512"/>
      <c r="L50" s="504">
        <f t="shared" si="2"/>
        <v>0</v>
      </c>
      <c r="M50" s="512"/>
      <c r="N50" s="504">
        <f t="shared" si="4"/>
        <v>0</v>
      </c>
      <c r="O50" s="504">
        <f t="shared" si="5"/>
        <v>0</v>
      </c>
      <c r="P50" s="278"/>
      <c r="R50" s="243"/>
      <c r="S50" s="243"/>
      <c r="T50" s="243"/>
      <c r="U50" s="243"/>
    </row>
    <row r="51" spans="2:21">
      <c r="B51" s="145" t="str">
        <f t="shared" si="0"/>
        <v/>
      </c>
      <c r="C51" s="495">
        <f>IF(D11="","-",+C50+1)</f>
        <v>2047</v>
      </c>
      <c r="D51" s="508">
        <f>IF(F50+SUM(E$17:E50)=D$10,F50,D$10-SUM(E$17:E50))</f>
        <v>0</v>
      </c>
      <c r="E51" s="509">
        <f t="shared" si="7"/>
        <v>0</v>
      </c>
      <c r="F51" s="510">
        <f t="shared" si="8"/>
        <v>0</v>
      </c>
      <c r="G51" s="511">
        <f t="shared" si="9"/>
        <v>0</v>
      </c>
      <c r="H51" s="477">
        <f t="shared" si="10"/>
        <v>0</v>
      </c>
      <c r="I51" s="500">
        <f t="shared" si="6"/>
        <v>0</v>
      </c>
      <c r="J51" s="500"/>
      <c r="K51" s="512"/>
      <c r="L51" s="504">
        <f t="shared" si="2"/>
        <v>0</v>
      </c>
      <c r="M51" s="512"/>
      <c r="N51" s="504">
        <f t="shared" si="4"/>
        <v>0</v>
      </c>
      <c r="O51" s="504">
        <f t="shared" si="5"/>
        <v>0</v>
      </c>
      <c r="P51" s="278"/>
      <c r="R51" s="243"/>
      <c r="S51" s="243"/>
      <c r="T51" s="243"/>
      <c r="U51" s="243"/>
    </row>
    <row r="52" spans="2:21">
      <c r="B52" s="145" t="str">
        <f t="shared" si="0"/>
        <v/>
      </c>
      <c r="C52" s="495">
        <f>IF(D11="","-",+C51+1)</f>
        <v>2048</v>
      </c>
      <c r="D52" s="508">
        <f>IF(F51+SUM(E$17:E51)=D$10,F51,D$10-SUM(E$17:E51))</f>
        <v>0</v>
      </c>
      <c r="E52" s="509">
        <f t="shared" si="7"/>
        <v>0</v>
      </c>
      <c r="F52" s="510">
        <f t="shared" si="8"/>
        <v>0</v>
      </c>
      <c r="G52" s="511">
        <f t="shared" si="9"/>
        <v>0</v>
      </c>
      <c r="H52" s="477">
        <f t="shared" si="10"/>
        <v>0</v>
      </c>
      <c r="I52" s="500">
        <f t="shared" si="6"/>
        <v>0</v>
      </c>
      <c r="J52" s="500"/>
      <c r="K52" s="512"/>
      <c r="L52" s="504">
        <f t="shared" si="2"/>
        <v>0</v>
      </c>
      <c r="M52" s="512"/>
      <c r="N52" s="504">
        <f t="shared" si="4"/>
        <v>0</v>
      </c>
      <c r="O52" s="504">
        <f t="shared" si="5"/>
        <v>0</v>
      </c>
      <c r="P52" s="278"/>
      <c r="R52" s="243"/>
      <c r="S52" s="243"/>
      <c r="T52" s="243"/>
      <c r="U52" s="243"/>
    </row>
    <row r="53" spans="2:21">
      <c r="B53" s="145" t="str">
        <f t="shared" si="0"/>
        <v/>
      </c>
      <c r="C53" s="495">
        <f>IF(D11="","-",+C52+1)</f>
        <v>2049</v>
      </c>
      <c r="D53" s="508">
        <f>IF(F52+SUM(E$17:E52)=D$10,F52,D$10-SUM(E$17:E52))</f>
        <v>0</v>
      </c>
      <c r="E53" s="509">
        <f t="shared" si="7"/>
        <v>0</v>
      </c>
      <c r="F53" s="510">
        <f t="shared" si="8"/>
        <v>0</v>
      </c>
      <c r="G53" s="511">
        <f t="shared" si="9"/>
        <v>0</v>
      </c>
      <c r="H53" s="477">
        <f t="shared" si="10"/>
        <v>0</v>
      </c>
      <c r="I53" s="500">
        <f t="shared" si="6"/>
        <v>0</v>
      </c>
      <c r="J53" s="500"/>
      <c r="K53" s="512"/>
      <c r="L53" s="504">
        <f t="shared" si="2"/>
        <v>0</v>
      </c>
      <c r="M53" s="512"/>
      <c r="N53" s="504">
        <f t="shared" si="4"/>
        <v>0</v>
      </c>
      <c r="O53" s="504">
        <f t="shared" si="5"/>
        <v>0</v>
      </c>
      <c r="P53" s="278"/>
      <c r="R53" s="243"/>
      <c r="S53" s="243"/>
      <c r="T53" s="243"/>
      <c r="U53" s="243"/>
    </row>
    <row r="54" spans="2:21">
      <c r="B54" s="145" t="str">
        <f t="shared" si="0"/>
        <v/>
      </c>
      <c r="C54" s="495">
        <f>IF(D11="","-",+C53+1)</f>
        <v>2050</v>
      </c>
      <c r="D54" s="508">
        <f>IF(F53+SUM(E$17:E53)=D$10,F53,D$10-SUM(E$17:E53))</f>
        <v>0</v>
      </c>
      <c r="E54" s="509">
        <f t="shared" si="7"/>
        <v>0</v>
      </c>
      <c r="F54" s="510">
        <f t="shared" si="8"/>
        <v>0</v>
      </c>
      <c r="G54" s="511">
        <f t="shared" si="9"/>
        <v>0</v>
      </c>
      <c r="H54" s="477">
        <f t="shared" si="10"/>
        <v>0</v>
      </c>
      <c r="I54" s="500">
        <f t="shared" si="6"/>
        <v>0</v>
      </c>
      <c r="J54" s="500"/>
      <c r="K54" s="512"/>
      <c r="L54" s="504">
        <f t="shared" si="2"/>
        <v>0</v>
      </c>
      <c r="M54" s="512"/>
      <c r="N54" s="504">
        <f t="shared" si="4"/>
        <v>0</v>
      </c>
      <c r="O54" s="504">
        <f t="shared" si="5"/>
        <v>0</v>
      </c>
      <c r="P54" s="278"/>
      <c r="R54" s="243"/>
      <c r="S54" s="243"/>
      <c r="T54" s="243"/>
      <c r="U54" s="243"/>
    </row>
    <row r="55" spans="2:21">
      <c r="B55" s="145" t="str">
        <f t="shared" si="0"/>
        <v/>
      </c>
      <c r="C55" s="495">
        <f>IF(D11="","-",+C54+1)</f>
        <v>2051</v>
      </c>
      <c r="D55" s="508">
        <f>IF(F54+SUM(E$17:E54)=D$10,F54,D$10-SUM(E$17:E54))</f>
        <v>0</v>
      </c>
      <c r="E55" s="509">
        <f t="shared" si="7"/>
        <v>0</v>
      </c>
      <c r="F55" s="510">
        <f t="shared" si="8"/>
        <v>0</v>
      </c>
      <c r="G55" s="511">
        <f t="shared" si="9"/>
        <v>0</v>
      </c>
      <c r="H55" s="477">
        <f t="shared" si="10"/>
        <v>0</v>
      </c>
      <c r="I55" s="500">
        <f t="shared" si="6"/>
        <v>0</v>
      </c>
      <c r="J55" s="500"/>
      <c r="K55" s="512"/>
      <c r="L55" s="504">
        <f t="shared" si="2"/>
        <v>0</v>
      </c>
      <c r="M55" s="512"/>
      <c r="N55" s="504">
        <f t="shared" si="4"/>
        <v>0</v>
      </c>
      <c r="O55" s="504">
        <f t="shared" si="5"/>
        <v>0</v>
      </c>
      <c r="P55" s="278"/>
      <c r="R55" s="243"/>
      <c r="S55" s="243"/>
      <c r="T55" s="243"/>
      <c r="U55" s="243"/>
    </row>
    <row r="56" spans="2:21">
      <c r="B56" s="145" t="str">
        <f t="shared" si="0"/>
        <v/>
      </c>
      <c r="C56" s="495">
        <f>IF(D11="","-",+C55+1)</f>
        <v>2052</v>
      </c>
      <c r="D56" s="508">
        <f>IF(F55+SUM(E$17:E55)=D$10,F55,D$10-SUM(E$17:E55))</f>
        <v>0</v>
      </c>
      <c r="E56" s="509">
        <f t="shared" si="7"/>
        <v>0</v>
      </c>
      <c r="F56" s="510">
        <f t="shared" si="8"/>
        <v>0</v>
      </c>
      <c r="G56" s="511">
        <f t="shared" si="9"/>
        <v>0</v>
      </c>
      <c r="H56" s="477">
        <f t="shared" si="10"/>
        <v>0</v>
      </c>
      <c r="I56" s="500">
        <f t="shared" si="6"/>
        <v>0</v>
      </c>
      <c r="J56" s="500"/>
      <c r="K56" s="512"/>
      <c r="L56" s="504">
        <f t="shared" si="2"/>
        <v>0</v>
      </c>
      <c r="M56" s="512"/>
      <c r="N56" s="504">
        <f t="shared" si="4"/>
        <v>0</v>
      </c>
      <c r="O56" s="504">
        <f t="shared" si="5"/>
        <v>0</v>
      </c>
      <c r="P56" s="278"/>
      <c r="R56" s="243"/>
      <c r="S56" s="243"/>
      <c r="T56" s="243"/>
      <c r="U56" s="243"/>
    </row>
    <row r="57" spans="2:21">
      <c r="B57" s="145" t="str">
        <f t="shared" si="0"/>
        <v/>
      </c>
      <c r="C57" s="495">
        <f>IF(D11="","-",+C56+1)</f>
        <v>2053</v>
      </c>
      <c r="D57" s="508">
        <f>IF(F56+SUM(E$17:E56)=D$10,F56,D$10-SUM(E$17:E56))</f>
        <v>0</v>
      </c>
      <c r="E57" s="509">
        <f t="shared" si="7"/>
        <v>0</v>
      </c>
      <c r="F57" s="510">
        <f t="shared" si="8"/>
        <v>0</v>
      </c>
      <c r="G57" s="511">
        <f t="shared" si="9"/>
        <v>0</v>
      </c>
      <c r="H57" s="477">
        <f t="shared" si="10"/>
        <v>0</v>
      </c>
      <c r="I57" s="500">
        <f t="shared" si="6"/>
        <v>0</v>
      </c>
      <c r="J57" s="500"/>
      <c r="K57" s="512"/>
      <c r="L57" s="504">
        <f t="shared" si="2"/>
        <v>0</v>
      </c>
      <c r="M57" s="512"/>
      <c r="N57" s="504">
        <f t="shared" si="4"/>
        <v>0</v>
      </c>
      <c r="O57" s="504">
        <f t="shared" si="5"/>
        <v>0</v>
      </c>
      <c r="P57" s="278"/>
      <c r="R57" s="243"/>
      <c r="S57" s="243"/>
      <c r="T57" s="243"/>
      <c r="U57" s="243"/>
    </row>
    <row r="58" spans="2:21">
      <c r="B58" s="145" t="str">
        <f t="shared" si="0"/>
        <v/>
      </c>
      <c r="C58" s="495">
        <f>IF(D11="","-",+C57+1)</f>
        <v>2054</v>
      </c>
      <c r="D58" s="508">
        <f>IF(F57+SUM(E$17:E57)=D$10,F57,D$10-SUM(E$17:E57))</f>
        <v>0</v>
      </c>
      <c r="E58" s="509">
        <f t="shared" si="7"/>
        <v>0</v>
      </c>
      <c r="F58" s="510">
        <f t="shared" si="8"/>
        <v>0</v>
      </c>
      <c r="G58" s="511">
        <f t="shared" si="9"/>
        <v>0</v>
      </c>
      <c r="H58" s="477">
        <f t="shared" si="10"/>
        <v>0</v>
      </c>
      <c r="I58" s="500">
        <f t="shared" si="6"/>
        <v>0</v>
      </c>
      <c r="J58" s="500"/>
      <c r="K58" s="512"/>
      <c r="L58" s="504">
        <f t="shared" si="2"/>
        <v>0</v>
      </c>
      <c r="M58" s="512"/>
      <c r="N58" s="504">
        <f t="shared" si="4"/>
        <v>0</v>
      </c>
      <c r="O58" s="504">
        <f t="shared" si="5"/>
        <v>0</v>
      </c>
      <c r="P58" s="278"/>
      <c r="R58" s="243"/>
      <c r="S58" s="243"/>
      <c r="T58" s="243"/>
      <c r="U58" s="243"/>
    </row>
    <row r="59" spans="2:21">
      <c r="B59" s="145" t="str">
        <f t="shared" si="0"/>
        <v/>
      </c>
      <c r="C59" s="495">
        <f>IF(D11="","-",+C58+1)</f>
        <v>2055</v>
      </c>
      <c r="D59" s="508">
        <f>IF(F58+SUM(E$17:E58)=D$10,F58,D$10-SUM(E$17:E58))</f>
        <v>0</v>
      </c>
      <c r="E59" s="509">
        <f t="shared" si="7"/>
        <v>0</v>
      </c>
      <c r="F59" s="510">
        <f t="shared" si="8"/>
        <v>0</v>
      </c>
      <c r="G59" s="511">
        <f t="shared" si="9"/>
        <v>0</v>
      </c>
      <c r="H59" s="477">
        <f t="shared" si="10"/>
        <v>0</v>
      </c>
      <c r="I59" s="500">
        <f t="shared" si="6"/>
        <v>0</v>
      </c>
      <c r="J59" s="500"/>
      <c r="K59" s="512"/>
      <c r="L59" s="504">
        <f t="shared" si="2"/>
        <v>0</v>
      </c>
      <c r="M59" s="512"/>
      <c r="N59" s="504">
        <f t="shared" si="4"/>
        <v>0</v>
      </c>
      <c r="O59" s="504">
        <f t="shared" si="5"/>
        <v>0</v>
      </c>
      <c r="P59" s="278"/>
      <c r="R59" s="243"/>
      <c r="S59" s="243"/>
      <c r="T59" s="243"/>
      <c r="U59" s="243"/>
    </row>
    <row r="60" spans="2:21">
      <c r="B60" s="145" t="str">
        <f t="shared" si="0"/>
        <v/>
      </c>
      <c r="C60" s="495">
        <f>IF(D11="","-",+C59+1)</f>
        <v>2056</v>
      </c>
      <c r="D60" s="508">
        <f>IF(F59+SUM(E$17:E59)=D$10,F59,D$10-SUM(E$17:E59))</f>
        <v>0</v>
      </c>
      <c r="E60" s="509">
        <f t="shared" si="7"/>
        <v>0</v>
      </c>
      <c r="F60" s="510">
        <f t="shared" si="8"/>
        <v>0</v>
      </c>
      <c r="G60" s="511">
        <f t="shared" si="9"/>
        <v>0</v>
      </c>
      <c r="H60" s="477">
        <f t="shared" si="10"/>
        <v>0</v>
      </c>
      <c r="I60" s="500">
        <f t="shared" si="6"/>
        <v>0</v>
      </c>
      <c r="J60" s="500"/>
      <c r="K60" s="512"/>
      <c r="L60" s="504">
        <f t="shared" si="2"/>
        <v>0</v>
      </c>
      <c r="M60" s="512"/>
      <c r="N60" s="504">
        <f t="shared" si="4"/>
        <v>0</v>
      </c>
      <c r="O60" s="504">
        <f t="shared" si="5"/>
        <v>0</v>
      </c>
      <c r="P60" s="278"/>
      <c r="R60" s="243"/>
      <c r="S60" s="243"/>
      <c r="T60" s="243"/>
      <c r="U60" s="243"/>
    </row>
    <row r="61" spans="2:21">
      <c r="B61" s="145" t="str">
        <f t="shared" si="0"/>
        <v/>
      </c>
      <c r="C61" s="495">
        <f>IF(D11="","-",+C60+1)</f>
        <v>2057</v>
      </c>
      <c r="D61" s="508">
        <f>IF(F60+SUM(E$17:E60)=D$10,F60,D$10-SUM(E$17:E60))</f>
        <v>0</v>
      </c>
      <c r="E61" s="509">
        <f t="shared" si="7"/>
        <v>0</v>
      </c>
      <c r="F61" s="510">
        <f t="shared" si="8"/>
        <v>0</v>
      </c>
      <c r="G61" s="511">
        <f t="shared" si="9"/>
        <v>0</v>
      </c>
      <c r="H61" s="477">
        <f t="shared" si="10"/>
        <v>0</v>
      </c>
      <c r="I61" s="500">
        <f t="shared" si="6"/>
        <v>0</v>
      </c>
      <c r="J61" s="500"/>
      <c r="K61" s="512"/>
      <c r="L61" s="504">
        <f t="shared" si="2"/>
        <v>0</v>
      </c>
      <c r="M61" s="512"/>
      <c r="N61" s="504">
        <f t="shared" si="4"/>
        <v>0</v>
      </c>
      <c r="O61" s="504">
        <f t="shared" si="5"/>
        <v>0</v>
      </c>
      <c r="P61" s="278"/>
      <c r="R61" s="243"/>
      <c r="S61" s="243"/>
      <c r="T61" s="243"/>
      <c r="U61" s="243"/>
    </row>
    <row r="62" spans="2:21">
      <c r="B62" s="145" t="str">
        <f t="shared" si="0"/>
        <v/>
      </c>
      <c r="C62" s="495">
        <f>IF(D11="","-",+C61+1)</f>
        <v>2058</v>
      </c>
      <c r="D62" s="508">
        <f>IF(F61+SUM(E$17:E61)=D$10,F61,D$10-SUM(E$17:E61))</f>
        <v>0</v>
      </c>
      <c r="E62" s="509">
        <f t="shared" si="7"/>
        <v>0</v>
      </c>
      <c r="F62" s="510">
        <f t="shared" si="8"/>
        <v>0</v>
      </c>
      <c r="G62" s="511">
        <f t="shared" si="9"/>
        <v>0</v>
      </c>
      <c r="H62" s="477">
        <f t="shared" si="10"/>
        <v>0</v>
      </c>
      <c r="I62" s="500">
        <f t="shared" si="6"/>
        <v>0</v>
      </c>
      <c r="J62" s="500"/>
      <c r="K62" s="512"/>
      <c r="L62" s="504">
        <f t="shared" si="2"/>
        <v>0</v>
      </c>
      <c r="M62" s="512"/>
      <c r="N62" s="504">
        <f t="shared" si="4"/>
        <v>0</v>
      </c>
      <c r="O62" s="504">
        <f t="shared" si="5"/>
        <v>0</v>
      </c>
      <c r="P62" s="278"/>
      <c r="R62" s="243"/>
      <c r="S62" s="243"/>
      <c r="T62" s="243"/>
      <c r="U62" s="243"/>
    </row>
    <row r="63" spans="2:21">
      <c r="B63" s="145" t="str">
        <f t="shared" si="0"/>
        <v/>
      </c>
      <c r="C63" s="495">
        <f>IF(D11="","-",+C62+1)</f>
        <v>2059</v>
      </c>
      <c r="D63" s="508">
        <f>IF(F62+SUM(E$17:E62)=D$10,F62,D$10-SUM(E$17:E62))</f>
        <v>0</v>
      </c>
      <c r="E63" s="509">
        <f t="shared" si="7"/>
        <v>0</v>
      </c>
      <c r="F63" s="510">
        <f t="shared" si="8"/>
        <v>0</v>
      </c>
      <c r="G63" s="511">
        <f t="shared" si="9"/>
        <v>0</v>
      </c>
      <c r="H63" s="477">
        <f t="shared" si="10"/>
        <v>0</v>
      </c>
      <c r="I63" s="500">
        <f t="shared" si="6"/>
        <v>0</v>
      </c>
      <c r="J63" s="500"/>
      <c r="K63" s="512"/>
      <c r="L63" s="504">
        <f t="shared" si="2"/>
        <v>0</v>
      </c>
      <c r="M63" s="512"/>
      <c r="N63" s="504">
        <f t="shared" si="4"/>
        <v>0</v>
      </c>
      <c r="O63" s="504">
        <f t="shared" si="5"/>
        <v>0</v>
      </c>
      <c r="P63" s="278"/>
      <c r="R63" s="243"/>
      <c r="S63" s="243"/>
      <c r="T63" s="243"/>
      <c r="U63" s="243"/>
    </row>
    <row r="64" spans="2:21">
      <c r="B64" s="145" t="str">
        <f t="shared" si="0"/>
        <v/>
      </c>
      <c r="C64" s="495">
        <f>IF(D11="","-",+C63+1)</f>
        <v>2060</v>
      </c>
      <c r="D64" s="508">
        <f>IF(F63+SUM(E$17:E63)=D$10,F63,D$10-SUM(E$17:E63))</f>
        <v>0</v>
      </c>
      <c r="E64" s="509">
        <f t="shared" si="7"/>
        <v>0</v>
      </c>
      <c r="F64" s="510">
        <f t="shared" si="8"/>
        <v>0</v>
      </c>
      <c r="G64" s="511">
        <f t="shared" si="9"/>
        <v>0</v>
      </c>
      <c r="H64" s="477">
        <f t="shared" si="10"/>
        <v>0</v>
      </c>
      <c r="I64" s="500">
        <f t="shared" si="6"/>
        <v>0</v>
      </c>
      <c r="J64" s="500"/>
      <c r="K64" s="512"/>
      <c r="L64" s="504">
        <f t="shared" si="2"/>
        <v>0</v>
      </c>
      <c r="M64" s="512"/>
      <c r="N64" s="504">
        <f t="shared" si="4"/>
        <v>0</v>
      </c>
      <c r="O64" s="504">
        <f t="shared" si="5"/>
        <v>0</v>
      </c>
      <c r="P64" s="278"/>
      <c r="R64" s="243"/>
      <c r="S64" s="243"/>
      <c r="T64" s="243"/>
      <c r="U64" s="243"/>
    </row>
    <row r="65" spans="2:21">
      <c r="B65" s="145" t="str">
        <f t="shared" si="0"/>
        <v/>
      </c>
      <c r="C65" s="495">
        <f>IF(D11="","-",+C64+1)</f>
        <v>2061</v>
      </c>
      <c r="D65" s="508">
        <f>IF(F64+SUM(E$17:E64)=D$10,F64,D$10-SUM(E$17:E64))</f>
        <v>0</v>
      </c>
      <c r="E65" s="509">
        <f t="shared" si="7"/>
        <v>0</v>
      </c>
      <c r="F65" s="510">
        <f t="shared" si="8"/>
        <v>0</v>
      </c>
      <c r="G65" s="511">
        <f t="shared" si="9"/>
        <v>0</v>
      </c>
      <c r="H65" s="477">
        <f t="shared" si="10"/>
        <v>0</v>
      </c>
      <c r="I65" s="500">
        <f t="shared" si="6"/>
        <v>0</v>
      </c>
      <c r="J65" s="500"/>
      <c r="K65" s="512"/>
      <c r="L65" s="504">
        <f t="shared" si="2"/>
        <v>0</v>
      </c>
      <c r="M65" s="512"/>
      <c r="N65" s="504">
        <f t="shared" si="4"/>
        <v>0</v>
      </c>
      <c r="O65" s="504">
        <f t="shared" si="5"/>
        <v>0</v>
      </c>
      <c r="P65" s="278"/>
      <c r="R65" s="243"/>
      <c r="S65" s="243"/>
      <c r="T65" s="243"/>
      <c r="U65" s="243"/>
    </row>
    <row r="66" spans="2:21">
      <c r="B66" s="145" t="str">
        <f t="shared" si="0"/>
        <v/>
      </c>
      <c r="C66" s="495">
        <f>IF(D11="","-",+C65+1)</f>
        <v>2062</v>
      </c>
      <c r="D66" s="508">
        <f>IF(F65+SUM(E$17:E65)=D$10,F65,D$10-SUM(E$17:E65))</f>
        <v>0</v>
      </c>
      <c r="E66" s="509">
        <f t="shared" si="7"/>
        <v>0</v>
      </c>
      <c r="F66" s="510">
        <f t="shared" si="8"/>
        <v>0</v>
      </c>
      <c r="G66" s="511">
        <f t="shared" si="9"/>
        <v>0</v>
      </c>
      <c r="H66" s="477">
        <f t="shared" si="10"/>
        <v>0</v>
      </c>
      <c r="I66" s="500">
        <f t="shared" si="6"/>
        <v>0</v>
      </c>
      <c r="J66" s="500"/>
      <c r="K66" s="512"/>
      <c r="L66" s="504">
        <f t="shared" si="2"/>
        <v>0</v>
      </c>
      <c r="M66" s="512"/>
      <c r="N66" s="504">
        <f t="shared" si="4"/>
        <v>0</v>
      </c>
      <c r="O66" s="504">
        <f t="shared" si="5"/>
        <v>0</v>
      </c>
      <c r="P66" s="278"/>
      <c r="R66" s="243"/>
      <c r="S66" s="243"/>
      <c r="T66" s="243"/>
      <c r="U66" s="243"/>
    </row>
    <row r="67" spans="2:21">
      <c r="B67" s="145" t="str">
        <f t="shared" si="0"/>
        <v/>
      </c>
      <c r="C67" s="495">
        <f>IF(D11="","-",+C66+1)</f>
        <v>2063</v>
      </c>
      <c r="D67" s="508">
        <f>IF(F66+SUM(E$17:E66)=D$10,F66,D$10-SUM(E$17:E66))</f>
        <v>0</v>
      </c>
      <c r="E67" s="509">
        <f t="shared" si="7"/>
        <v>0</v>
      </c>
      <c r="F67" s="510">
        <f t="shared" si="8"/>
        <v>0</v>
      </c>
      <c r="G67" s="511">
        <f t="shared" si="9"/>
        <v>0</v>
      </c>
      <c r="H67" s="477">
        <f t="shared" si="10"/>
        <v>0</v>
      </c>
      <c r="I67" s="500">
        <f t="shared" si="6"/>
        <v>0</v>
      </c>
      <c r="J67" s="500"/>
      <c r="K67" s="512"/>
      <c r="L67" s="504">
        <f t="shared" si="2"/>
        <v>0</v>
      </c>
      <c r="M67" s="512"/>
      <c r="N67" s="504">
        <f t="shared" si="4"/>
        <v>0</v>
      </c>
      <c r="O67" s="504">
        <f t="shared" si="5"/>
        <v>0</v>
      </c>
      <c r="P67" s="278"/>
      <c r="R67" s="243"/>
      <c r="S67" s="243"/>
      <c r="T67" s="243"/>
      <c r="U67" s="243"/>
    </row>
    <row r="68" spans="2:21">
      <c r="B68" s="145" t="str">
        <f t="shared" si="0"/>
        <v/>
      </c>
      <c r="C68" s="495">
        <f>IF(D11="","-",+C67+1)</f>
        <v>2064</v>
      </c>
      <c r="D68" s="508">
        <f>IF(F67+SUM(E$17:E67)=D$10,F67,D$10-SUM(E$17:E67))</f>
        <v>0</v>
      </c>
      <c r="E68" s="509">
        <f t="shared" si="7"/>
        <v>0</v>
      </c>
      <c r="F68" s="510">
        <f t="shared" si="8"/>
        <v>0</v>
      </c>
      <c r="G68" s="511">
        <f t="shared" si="9"/>
        <v>0</v>
      </c>
      <c r="H68" s="477">
        <f t="shared" si="10"/>
        <v>0</v>
      </c>
      <c r="I68" s="500">
        <f t="shared" si="6"/>
        <v>0</v>
      </c>
      <c r="J68" s="500"/>
      <c r="K68" s="512"/>
      <c r="L68" s="504">
        <f t="shared" si="2"/>
        <v>0</v>
      </c>
      <c r="M68" s="512"/>
      <c r="N68" s="504">
        <f t="shared" si="4"/>
        <v>0</v>
      </c>
      <c r="O68" s="504">
        <f t="shared" si="5"/>
        <v>0</v>
      </c>
      <c r="P68" s="278"/>
      <c r="R68" s="243"/>
      <c r="S68" s="243"/>
      <c r="T68" s="243"/>
      <c r="U68" s="243"/>
    </row>
    <row r="69" spans="2:21">
      <c r="B69" s="145" t="str">
        <f t="shared" si="0"/>
        <v/>
      </c>
      <c r="C69" s="495">
        <f>IF(D11="","-",+C68+1)</f>
        <v>2065</v>
      </c>
      <c r="D69" s="508">
        <f>IF(F68+SUM(E$17:E68)=D$10,F68,D$10-SUM(E$17:E68))</f>
        <v>0</v>
      </c>
      <c r="E69" s="509">
        <f t="shared" si="7"/>
        <v>0</v>
      </c>
      <c r="F69" s="510">
        <f t="shared" si="8"/>
        <v>0</v>
      </c>
      <c r="G69" s="511">
        <f t="shared" si="9"/>
        <v>0</v>
      </c>
      <c r="H69" s="477">
        <f t="shared" si="10"/>
        <v>0</v>
      </c>
      <c r="I69" s="500">
        <f t="shared" si="6"/>
        <v>0</v>
      </c>
      <c r="J69" s="500"/>
      <c r="K69" s="512"/>
      <c r="L69" s="504">
        <f t="shared" si="2"/>
        <v>0</v>
      </c>
      <c r="M69" s="512"/>
      <c r="N69" s="504">
        <f t="shared" si="4"/>
        <v>0</v>
      </c>
      <c r="O69" s="504">
        <f t="shared" si="5"/>
        <v>0</v>
      </c>
      <c r="P69" s="278"/>
      <c r="R69" s="243"/>
      <c r="S69" s="243"/>
      <c r="T69" s="243"/>
      <c r="U69" s="243"/>
    </row>
    <row r="70" spans="2:21">
      <c r="B70" s="145" t="str">
        <f t="shared" si="0"/>
        <v/>
      </c>
      <c r="C70" s="495">
        <f>IF(D11="","-",+C69+1)</f>
        <v>2066</v>
      </c>
      <c r="D70" s="508">
        <f>IF(F69+SUM(E$17:E69)=D$10,F69,D$10-SUM(E$17:E69))</f>
        <v>0</v>
      </c>
      <c r="E70" s="509">
        <f t="shared" si="7"/>
        <v>0</v>
      </c>
      <c r="F70" s="510">
        <f t="shared" si="8"/>
        <v>0</v>
      </c>
      <c r="G70" s="511">
        <f t="shared" si="9"/>
        <v>0</v>
      </c>
      <c r="H70" s="477">
        <f t="shared" si="10"/>
        <v>0</v>
      </c>
      <c r="I70" s="500">
        <f t="shared" si="6"/>
        <v>0</v>
      </c>
      <c r="J70" s="500"/>
      <c r="K70" s="512"/>
      <c r="L70" s="504">
        <f t="shared" si="2"/>
        <v>0</v>
      </c>
      <c r="M70" s="512"/>
      <c r="N70" s="504">
        <f t="shared" si="4"/>
        <v>0</v>
      </c>
      <c r="O70" s="504">
        <f t="shared" si="5"/>
        <v>0</v>
      </c>
      <c r="P70" s="278"/>
      <c r="R70" s="243"/>
      <c r="S70" s="243"/>
      <c r="T70" s="243"/>
      <c r="U70" s="243"/>
    </row>
    <row r="71" spans="2:21">
      <c r="B71" s="145" t="str">
        <f t="shared" si="0"/>
        <v/>
      </c>
      <c r="C71" s="495">
        <f>IF(D11="","-",+C70+1)</f>
        <v>2067</v>
      </c>
      <c r="D71" s="508">
        <f>IF(F70+SUM(E$17:E70)=D$10,F70,D$10-SUM(E$17:E70))</f>
        <v>0</v>
      </c>
      <c r="E71" s="509">
        <f t="shared" si="7"/>
        <v>0</v>
      </c>
      <c r="F71" s="510">
        <f t="shared" si="8"/>
        <v>0</v>
      </c>
      <c r="G71" s="511">
        <f t="shared" si="9"/>
        <v>0</v>
      </c>
      <c r="H71" s="477">
        <f t="shared" si="10"/>
        <v>0</v>
      </c>
      <c r="I71" s="500">
        <f t="shared" si="6"/>
        <v>0</v>
      </c>
      <c r="J71" s="500"/>
      <c r="K71" s="512"/>
      <c r="L71" s="504">
        <f t="shared" si="2"/>
        <v>0</v>
      </c>
      <c r="M71" s="512"/>
      <c r="N71" s="504">
        <f t="shared" si="4"/>
        <v>0</v>
      </c>
      <c r="O71" s="504">
        <f t="shared" si="5"/>
        <v>0</v>
      </c>
      <c r="P71" s="278"/>
      <c r="R71" s="243"/>
      <c r="S71" s="243"/>
      <c r="T71" s="243"/>
      <c r="U71" s="243"/>
    </row>
    <row r="72" spans="2:21">
      <c r="B72" s="145" t="str">
        <f t="shared" si="0"/>
        <v/>
      </c>
      <c r="C72" s="495">
        <f>IF(D11="","-",+C71+1)</f>
        <v>2068</v>
      </c>
      <c r="D72" s="508">
        <f>IF(F71+SUM(E$17:E71)=D$10,F71,D$10-SUM(E$17:E71))</f>
        <v>0</v>
      </c>
      <c r="E72" s="509">
        <f t="shared" si="7"/>
        <v>0</v>
      </c>
      <c r="F72" s="510">
        <f t="shared" si="8"/>
        <v>0</v>
      </c>
      <c r="G72" s="511">
        <f t="shared" si="9"/>
        <v>0</v>
      </c>
      <c r="H72" s="477">
        <f t="shared" si="10"/>
        <v>0</v>
      </c>
      <c r="I72" s="500">
        <f t="shared" si="6"/>
        <v>0</v>
      </c>
      <c r="J72" s="500"/>
      <c r="K72" s="512"/>
      <c r="L72" s="504">
        <f t="shared" si="2"/>
        <v>0</v>
      </c>
      <c r="M72" s="512"/>
      <c r="N72" s="504">
        <f t="shared" si="4"/>
        <v>0</v>
      </c>
      <c r="O72" s="504">
        <f t="shared" si="5"/>
        <v>0</v>
      </c>
      <c r="P72" s="278"/>
      <c r="R72" s="243"/>
      <c r="S72" s="243"/>
      <c r="T72" s="243"/>
      <c r="U72" s="243"/>
    </row>
    <row r="73" spans="2:21" ht="13.5" thickBot="1">
      <c r="B73" s="145" t="str">
        <f t="shared" si="0"/>
        <v/>
      </c>
      <c r="C73" s="524">
        <f>IF(D11="","-",+C72+1)</f>
        <v>2069</v>
      </c>
      <c r="D73" s="525">
        <f>IF(F72+SUM(E$17:E72)=D$10,F72,D$10-SUM(E$17:E72))</f>
        <v>0</v>
      </c>
      <c r="E73" s="526">
        <f t="shared" si="7"/>
        <v>0</v>
      </c>
      <c r="F73" s="527">
        <f t="shared" si="8"/>
        <v>0</v>
      </c>
      <c r="G73" s="527">
        <f t="shared" si="9"/>
        <v>0</v>
      </c>
      <c r="H73" s="527">
        <f t="shared" si="10"/>
        <v>0</v>
      </c>
      <c r="I73" s="529">
        <f t="shared" si="6"/>
        <v>0</v>
      </c>
      <c r="J73" s="500"/>
      <c r="K73" s="530"/>
      <c r="L73" s="531">
        <f t="shared" si="2"/>
        <v>0</v>
      </c>
      <c r="M73" s="530"/>
      <c r="N73" s="531">
        <f t="shared" si="4"/>
        <v>0</v>
      </c>
      <c r="O73" s="531">
        <f t="shared" si="5"/>
        <v>0</v>
      </c>
      <c r="P73" s="278"/>
      <c r="R73" s="243"/>
      <c r="S73" s="243"/>
      <c r="T73" s="243"/>
      <c r="U73" s="243"/>
    </row>
    <row r="74" spans="2:21">
      <c r="C74" s="349" t="s">
        <v>75</v>
      </c>
      <c r="D74" s="294"/>
      <c r="E74" s="294">
        <f>SUM(E17:E73)</f>
        <v>4817114</v>
      </c>
      <c r="F74" s="294"/>
      <c r="G74" s="294">
        <f>SUM(G17:G73)</f>
        <v>6944051.4604764273</v>
      </c>
      <c r="H74" s="294">
        <f>SUM(H17:H73)</f>
        <v>6944051.4604764273</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438" t="str">
        <f ca="1">P1</f>
        <v>OKT Project 13 of 23</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2020</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0</v>
      </c>
      <c r="N88" s="544">
        <f>IF(J93&lt;D11,0,VLOOKUP(J93,C17:O73,11))</f>
        <v>0</v>
      </c>
      <c r="O88" s="545">
        <f>+N88-M88</f>
        <v>0</v>
      </c>
      <c r="P88" s="243"/>
      <c r="Q88" s="243"/>
      <c r="R88" s="243"/>
      <c r="S88" s="243"/>
      <c r="T88" s="243"/>
      <c r="U88" s="243"/>
    </row>
    <row r="89" spans="1:21" ht="15.75">
      <c r="C89" s="636" t="s">
        <v>266</v>
      </c>
      <c r="D89" s="292"/>
      <c r="E89" s="243"/>
      <c r="F89" s="243"/>
      <c r="G89" s="243"/>
      <c r="H89" s="243"/>
      <c r="I89" s="449"/>
      <c r="J89" s="449"/>
      <c r="K89" s="546"/>
      <c r="L89" s="547" t="s">
        <v>254</v>
      </c>
      <c r="M89" s="548">
        <f>IF(J93&lt;D11,0,VLOOKUP(J93,C100:P155,6))</f>
        <v>0</v>
      </c>
      <c r="N89" s="548">
        <f>IF(J93&lt;D11,0,VLOOKUP(J93,C100:P155,7))</f>
        <v>0</v>
      </c>
      <c r="O89" s="549">
        <f>+N89-M89</f>
        <v>0</v>
      </c>
      <c r="P89" s="243"/>
      <c r="Q89" s="243"/>
      <c r="R89" s="243"/>
      <c r="S89" s="243"/>
      <c r="T89" s="243"/>
      <c r="U89" s="243"/>
    </row>
    <row r="90" spans="1:21" ht="13.5" thickBot="1">
      <c r="C90" s="454" t="s">
        <v>82</v>
      </c>
      <c r="D90" s="550" t="str">
        <f>+D7</f>
        <v>Ellis 138 kV</v>
      </c>
      <c r="E90" s="243"/>
      <c r="F90" s="243"/>
      <c r="G90" s="243"/>
      <c r="H90" s="243"/>
      <c r="I90" s="325"/>
      <c r="J90" s="325"/>
      <c r="K90" s="551"/>
      <c r="L90" s="552" t="s">
        <v>135</v>
      </c>
      <c r="M90" s="553">
        <f>+M89-M88</f>
        <v>0</v>
      </c>
      <c r="N90" s="553">
        <f>+N89-N88</f>
        <v>0</v>
      </c>
      <c r="O90" s="554">
        <f>+O89-O88</f>
        <v>0</v>
      </c>
      <c r="P90" s="243"/>
      <c r="Q90" s="243"/>
      <c r="R90" s="243"/>
      <c r="S90" s="243"/>
      <c r="T90" s="243"/>
      <c r="U90" s="243"/>
    </row>
    <row r="91" spans="1:21" ht="13.5" thickBot="1">
      <c r="C91" s="532"/>
      <c r="D91" s="626" t="str">
        <f>IF(D8="","",D8)</f>
        <v>***Sch. 11 recovery commenced in 2015 rate year***</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TP2012055</v>
      </c>
      <c r="E92" s="558"/>
      <c r="F92" s="558"/>
      <c r="G92" s="558"/>
      <c r="H92" s="558"/>
      <c r="I92" s="558"/>
      <c r="J92" s="558"/>
      <c r="K92" s="560"/>
      <c r="P92" s="468"/>
      <c r="Q92" s="243"/>
      <c r="R92" s="243"/>
      <c r="S92" s="243"/>
      <c r="T92" s="243"/>
      <c r="U92" s="243"/>
    </row>
    <row r="93" spans="1:21">
      <c r="C93" s="472" t="s">
        <v>49</v>
      </c>
      <c r="D93" s="470">
        <v>4817114</v>
      </c>
      <c r="E93" s="248" t="s">
        <v>84</v>
      </c>
      <c r="H93" s="408"/>
      <c r="I93" s="408"/>
      <c r="J93" s="471">
        <f>+'OKT.WS.G.BPU.ATRR.True-up'!M16</f>
        <v>2020</v>
      </c>
      <c r="K93" s="467"/>
      <c r="L93" s="294" t="s">
        <v>85</v>
      </c>
      <c r="P93" s="278"/>
      <c r="Q93" s="243"/>
      <c r="R93" s="243"/>
      <c r="S93" s="243"/>
      <c r="T93" s="243"/>
      <c r="U93" s="243"/>
    </row>
    <row r="94" spans="1:21">
      <c r="C94" s="472" t="s">
        <v>52</v>
      </c>
      <c r="D94" s="561">
        <f>D11</f>
        <v>2013</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f>D12</f>
        <v>10</v>
      </c>
      <c r="E95" s="472" t="s">
        <v>55</v>
      </c>
      <c r="F95" s="408"/>
      <c r="G95" s="408"/>
      <c r="J95" s="476">
        <f>'OKT.WS.G.BPU.ATRR.True-up'!$F$81</f>
        <v>0.11475877389767174</v>
      </c>
      <c r="K95" s="413"/>
      <c r="L95" s="145" t="s">
        <v>86</v>
      </c>
      <c r="P95" s="278"/>
      <c r="Q95" s="243"/>
      <c r="R95" s="243"/>
      <c r="S95" s="243"/>
      <c r="T95" s="243"/>
      <c r="U95" s="243"/>
    </row>
    <row r="96" spans="1:21">
      <c r="C96" s="472" t="s">
        <v>57</v>
      </c>
      <c r="D96" s="474">
        <f>'OKT.WS.G.BPU.ATRR.True-up'!F$93</f>
        <v>21</v>
      </c>
      <c r="E96" s="472" t="s">
        <v>58</v>
      </c>
      <c r="F96" s="408"/>
      <c r="G96" s="408"/>
      <c r="J96" s="476">
        <f>IF(H88="",J95,'OKT.WS.G.BPU.ATRR.True-up'!$F$80)</f>
        <v>0.11475877389767174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229386.38095238095</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C100" s="495">
        <f>IF(D94= "","-",D94)</f>
        <v>2013</v>
      </c>
      <c r="D100" s="349"/>
      <c r="E100" s="511"/>
      <c r="F100" s="510"/>
      <c r="G100" s="605"/>
      <c r="H100" s="605"/>
      <c r="I100" s="605"/>
      <c r="J100" s="504"/>
      <c r="K100" s="504"/>
      <c r="L100" s="501"/>
      <c r="M100" s="502">
        <f t="shared" ref="M100:M131" si="15">IF(L100&lt;&gt;0,+H100-L100,0)</f>
        <v>0</v>
      </c>
      <c r="N100" s="501"/>
      <c r="O100" s="503">
        <f t="shared" ref="O100:O131" si="16">IF(N100&lt;&gt;0,+I100-N100,0)</f>
        <v>0</v>
      </c>
      <c r="P100" s="503">
        <f t="shared" ref="P100:P131" si="17">+O100-M100</f>
        <v>0</v>
      </c>
      <c r="Q100" s="243"/>
      <c r="R100" s="243"/>
      <c r="S100" s="243"/>
      <c r="T100" s="243"/>
      <c r="U100" s="243"/>
    </row>
    <row r="101" spans="1:21">
      <c r="C101" s="495">
        <f>IF(D94="","-",+C100+1)</f>
        <v>2014</v>
      </c>
      <c r="D101" s="349"/>
      <c r="E101" s="509"/>
      <c r="F101" s="510"/>
      <c r="G101" s="510"/>
      <c r="H101" s="627"/>
      <c r="I101" s="628"/>
      <c r="J101" s="504"/>
      <c r="K101" s="504"/>
      <c r="L101" s="506"/>
      <c r="M101" s="507">
        <f t="shared" si="15"/>
        <v>0</v>
      </c>
      <c r="N101" s="506"/>
      <c r="O101" s="504">
        <f t="shared" si="16"/>
        <v>0</v>
      </c>
      <c r="P101" s="504">
        <f t="shared" si="17"/>
        <v>0</v>
      </c>
      <c r="Q101" s="243"/>
      <c r="R101" s="243"/>
      <c r="S101" s="243"/>
      <c r="T101" s="243"/>
      <c r="U101" s="243"/>
    </row>
    <row r="102" spans="1:21">
      <c r="B102" s="145" t="str">
        <f t="shared" ref="B102:B155" si="18">IF(D102=F101,"","IU")</f>
        <v>IU</v>
      </c>
      <c r="C102" s="495">
        <f>IF(D94="","-",+C101+1)</f>
        <v>2015</v>
      </c>
      <c r="D102" s="496">
        <v>4004216.6870407565</v>
      </c>
      <c r="E102" s="498">
        <v>85139.5</v>
      </c>
      <c r="F102" s="505">
        <v>3919077.1870407565</v>
      </c>
      <c r="G102" s="505">
        <v>3961646.9370407565</v>
      </c>
      <c r="H102" s="498">
        <v>526187.38978732098</v>
      </c>
      <c r="I102" s="499">
        <v>526187.38978732098</v>
      </c>
      <c r="J102" s="504">
        <v>0</v>
      </c>
      <c r="K102" s="504"/>
      <c r="L102" s="506">
        <f>H102</f>
        <v>526187.38978732098</v>
      </c>
      <c r="M102" s="504">
        <f>IF(L102&lt;&gt;0,+H102-L102,0)</f>
        <v>0</v>
      </c>
      <c r="N102" s="506">
        <f>I102</f>
        <v>526187.38978732098</v>
      </c>
      <c r="O102" s="504">
        <f t="shared" si="16"/>
        <v>0</v>
      </c>
      <c r="P102" s="504">
        <f t="shared" si="17"/>
        <v>0</v>
      </c>
      <c r="Q102" s="243"/>
      <c r="R102" s="243"/>
      <c r="S102" s="243"/>
      <c r="T102" s="243"/>
      <c r="U102" s="243"/>
    </row>
    <row r="103" spans="1:21">
      <c r="B103" s="145" t="str">
        <f t="shared" si="18"/>
        <v>IU</v>
      </c>
      <c r="C103" s="495">
        <f>IF(D94="","-",+C102+1)</f>
        <v>2016</v>
      </c>
      <c r="D103" s="496">
        <v>4714898.5</v>
      </c>
      <c r="E103" s="498">
        <v>94118.392156862741</v>
      </c>
      <c r="F103" s="505">
        <v>4620780.1078431373</v>
      </c>
      <c r="G103" s="505">
        <v>4667839.3039215691</v>
      </c>
      <c r="H103" s="498">
        <v>599969.61415819218</v>
      </c>
      <c r="I103" s="499">
        <v>599969.61415819218</v>
      </c>
      <c r="J103" s="504">
        <f>+I103-H103</f>
        <v>0</v>
      </c>
      <c r="K103" s="504"/>
      <c r="L103" s="506">
        <f>H103</f>
        <v>599969.61415819218</v>
      </c>
      <c r="M103" s="504">
        <f>IF(L103&lt;&gt;0,+H103-L103,0)</f>
        <v>0</v>
      </c>
      <c r="N103" s="506">
        <f>I103</f>
        <v>599969.61415819218</v>
      </c>
      <c r="O103" s="504">
        <f>IF(N103&lt;&gt;0,+I103-N103,0)</f>
        <v>0</v>
      </c>
      <c r="P103" s="504">
        <f>+O103-M103</f>
        <v>0</v>
      </c>
      <c r="Q103" s="243"/>
      <c r="R103" s="243"/>
      <c r="S103" s="243"/>
      <c r="T103" s="243"/>
      <c r="U103" s="243"/>
    </row>
    <row r="104" spans="1:21">
      <c r="B104" s="145" t="str">
        <f t="shared" si="18"/>
        <v>IU</v>
      </c>
      <c r="C104" s="495">
        <f>IF(D94="","-",+C103+1)</f>
        <v>2017</v>
      </c>
      <c r="D104" s="496">
        <v>4637856.1078431373</v>
      </c>
      <c r="E104" s="498">
        <v>120427.85</v>
      </c>
      <c r="F104" s="505">
        <v>4517428.2578431377</v>
      </c>
      <c r="G104" s="505">
        <v>4577642.1828431375</v>
      </c>
      <c r="H104" s="498">
        <v>657549.4515750818</v>
      </c>
      <c r="I104" s="499">
        <v>657549.4515750818</v>
      </c>
      <c r="J104" s="504">
        <v>0</v>
      </c>
      <c r="K104" s="504"/>
      <c r="L104" s="506">
        <f>H104</f>
        <v>657549.4515750818</v>
      </c>
      <c r="M104" s="504">
        <f>IF(L104&lt;&gt;0,+H104-L104,0)</f>
        <v>0</v>
      </c>
      <c r="N104" s="506">
        <f>I104</f>
        <v>657549.4515750818</v>
      </c>
      <c r="O104" s="504">
        <f>IF(N104&lt;&gt;0,+I104-N104,0)</f>
        <v>0</v>
      </c>
      <c r="P104" s="504">
        <f>+O104-M104</f>
        <v>0</v>
      </c>
      <c r="Q104" s="243"/>
      <c r="R104" s="243"/>
      <c r="S104" s="243"/>
      <c r="T104" s="243"/>
      <c r="U104" s="243"/>
    </row>
    <row r="105" spans="1:21">
      <c r="B105" s="145" t="str">
        <f t="shared" si="18"/>
        <v/>
      </c>
      <c r="C105" s="495">
        <f>IF(D94="","-",+C104+1)</f>
        <v>2018</v>
      </c>
      <c r="D105" s="496">
        <v>4517428.2578431377</v>
      </c>
      <c r="E105" s="498">
        <v>133808.72222222222</v>
      </c>
      <c r="F105" s="505">
        <v>4383619.5356209157</v>
      </c>
      <c r="G105" s="505">
        <v>4450523.8967320267</v>
      </c>
      <c r="H105" s="498">
        <v>603616.92453524831</v>
      </c>
      <c r="I105" s="499">
        <v>603616.92453524831</v>
      </c>
      <c r="J105" s="504">
        <f t="shared" ref="J105:J155" si="19">+I105-H105</f>
        <v>0</v>
      </c>
      <c r="K105" s="504"/>
      <c r="L105" s="506">
        <f>H105</f>
        <v>603616.92453524831</v>
      </c>
      <c r="M105" s="504">
        <f>IF(L105&lt;&gt;0,+H105-L105,0)</f>
        <v>0</v>
      </c>
      <c r="N105" s="506">
        <f>I105</f>
        <v>603616.92453524831</v>
      </c>
      <c r="O105" s="504">
        <f>IF(N105&lt;&gt;0,+I105-N105,0)</f>
        <v>0</v>
      </c>
      <c r="P105" s="504">
        <f>+O105-M105</f>
        <v>0</v>
      </c>
      <c r="Q105" s="243"/>
      <c r="R105" s="243"/>
      <c r="S105" s="243"/>
      <c r="T105" s="243"/>
      <c r="U105" s="243"/>
    </row>
    <row r="106" spans="1:21">
      <c r="B106" s="145" t="str">
        <f t="shared" si="18"/>
        <v>IU</v>
      </c>
      <c r="C106" s="495">
        <f>IF(D94="","-",+C105+1)</f>
        <v>2019</v>
      </c>
      <c r="D106" s="349"/>
      <c r="E106" s="629"/>
      <c r="F106" s="510"/>
      <c r="G106" s="510"/>
      <c r="H106" s="630"/>
      <c r="I106" s="631"/>
      <c r="J106" s="504">
        <f t="shared" si="19"/>
        <v>0</v>
      </c>
      <c r="K106" s="504"/>
      <c r="L106" s="512"/>
      <c r="M106" s="504">
        <f t="shared" si="15"/>
        <v>0</v>
      </c>
      <c r="N106" s="512"/>
      <c r="O106" s="504">
        <f t="shared" si="16"/>
        <v>0</v>
      </c>
      <c r="P106" s="504">
        <f t="shared" si="17"/>
        <v>0</v>
      </c>
      <c r="Q106" s="243"/>
      <c r="R106" s="243"/>
      <c r="S106" s="243"/>
      <c r="T106" s="243"/>
      <c r="U106" s="243"/>
    </row>
    <row r="107" spans="1:21">
      <c r="B107" s="145" t="str">
        <f t="shared" si="18"/>
        <v/>
      </c>
      <c r="C107" s="495">
        <f>IF(D94="","-",+C106+1)</f>
        <v>2020</v>
      </c>
      <c r="D107" s="349"/>
      <c r="E107" s="629"/>
      <c r="F107" s="510"/>
      <c r="G107" s="510"/>
      <c r="H107" s="630"/>
      <c r="I107" s="631"/>
      <c r="J107" s="504">
        <f t="shared" si="19"/>
        <v>0</v>
      </c>
      <c r="K107" s="504"/>
      <c r="L107" s="512"/>
      <c r="M107" s="504">
        <f t="shared" si="15"/>
        <v>0</v>
      </c>
      <c r="N107" s="512"/>
      <c r="O107" s="504">
        <f t="shared" si="16"/>
        <v>0</v>
      </c>
      <c r="P107" s="504">
        <f t="shared" si="17"/>
        <v>0</v>
      </c>
      <c r="Q107" s="243"/>
      <c r="R107" s="243"/>
      <c r="S107" s="243"/>
      <c r="T107" s="243"/>
      <c r="U107" s="243"/>
    </row>
    <row r="108" spans="1:21">
      <c r="B108" s="145" t="str">
        <f t="shared" si="18"/>
        <v/>
      </c>
      <c r="C108" s="495">
        <f>IF(D94="","-",+C107+1)</f>
        <v>2021</v>
      </c>
      <c r="D108" s="349"/>
      <c r="E108" s="629"/>
      <c r="F108" s="510"/>
      <c r="G108" s="510"/>
      <c r="H108" s="630"/>
      <c r="I108" s="631"/>
      <c r="J108" s="504">
        <f t="shared" si="19"/>
        <v>0</v>
      </c>
      <c r="K108" s="504"/>
      <c r="L108" s="512"/>
      <c r="M108" s="504">
        <f t="shared" si="15"/>
        <v>0</v>
      </c>
      <c r="N108" s="512"/>
      <c r="O108" s="504">
        <f t="shared" si="16"/>
        <v>0</v>
      </c>
      <c r="P108" s="504">
        <f t="shared" si="17"/>
        <v>0</v>
      </c>
      <c r="Q108" s="243"/>
      <c r="R108" s="243"/>
      <c r="S108" s="243"/>
      <c r="T108" s="243"/>
      <c r="U108" s="243"/>
    </row>
    <row r="109" spans="1:21">
      <c r="B109" s="145" t="str">
        <f t="shared" si="18"/>
        <v/>
      </c>
      <c r="C109" s="495">
        <f>IF(D94="","-",+C108+1)</f>
        <v>2022</v>
      </c>
      <c r="D109" s="349"/>
      <c r="E109" s="629"/>
      <c r="F109" s="510"/>
      <c r="G109" s="510"/>
      <c r="H109" s="630"/>
      <c r="I109" s="631"/>
      <c r="J109" s="504">
        <f t="shared" si="19"/>
        <v>0</v>
      </c>
      <c r="K109" s="504"/>
      <c r="L109" s="512"/>
      <c r="M109" s="504">
        <f t="shared" si="15"/>
        <v>0</v>
      </c>
      <c r="N109" s="512"/>
      <c r="O109" s="504">
        <f t="shared" si="16"/>
        <v>0</v>
      </c>
      <c r="P109" s="504">
        <f t="shared" si="17"/>
        <v>0</v>
      </c>
      <c r="Q109" s="243"/>
      <c r="R109" s="243"/>
      <c r="S109" s="243"/>
      <c r="T109" s="243"/>
      <c r="U109" s="243"/>
    </row>
    <row r="110" spans="1:21">
      <c r="B110" s="145" t="str">
        <f t="shared" si="18"/>
        <v/>
      </c>
      <c r="C110" s="495">
        <f>IF(D94="","-",+C109+1)</f>
        <v>2023</v>
      </c>
      <c r="D110" s="349"/>
      <c r="E110" s="629"/>
      <c r="F110" s="510"/>
      <c r="G110" s="510"/>
      <c r="H110" s="630"/>
      <c r="I110" s="631"/>
      <c r="J110" s="504">
        <f t="shared" si="19"/>
        <v>0</v>
      </c>
      <c r="K110" s="504"/>
      <c r="L110" s="512"/>
      <c r="M110" s="504">
        <f t="shared" si="15"/>
        <v>0</v>
      </c>
      <c r="N110" s="512"/>
      <c r="O110" s="504">
        <f t="shared" si="16"/>
        <v>0</v>
      </c>
      <c r="P110" s="504">
        <f t="shared" si="17"/>
        <v>0</v>
      </c>
      <c r="Q110" s="243"/>
      <c r="R110" s="243"/>
      <c r="S110" s="243"/>
      <c r="T110" s="243"/>
      <c r="U110" s="243"/>
    </row>
    <row r="111" spans="1:21">
      <c r="B111" s="145" t="str">
        <f t="shared" si="18"/>
        <v/>
      </c>
      <c r="C111" s="495">
        <f>IF(D94="","-",+C110+1)</f>
        <v>2024</v>
      </c>
      <c r="D111" s="349"/>
      <c r="E111" s="629"/>
      <c r="F111" s="510"/>
      <c r="G111" s="510"/>
      <c r="H111" s="630"/>
      <c r="I111" s="631"/>
      <c r="J111" s="504">
        <f t="shared" si="19"/>
        <v>0</v>
      </c>
      <c r="K111" s="504"/>
      <c r="L111" s="512"/>
      <c r="M111" s="504">
        <f t="shared" si="15"/>
        <v>0</v>
      </c>
      <c r="N111" s="512"/>
      <c r="O111" s="504">
        <f t="shared" si="16"/>
        <v>0</v>
      </c>
      <c r="P111" s="504">
        <f t="shared" si="17"/>
        <v>0</v>
      </c>
      <c r="Q111" s="243"/>
      <c r="R111" s="243"/>
      <c r="S111" s="243"/>
      <c r="T111" s="243"/>
      <c r="U111" s="243"/>
    </row>
    <row r="112" spans="1:21">
      <c r="B112" s="145" t="str">
        <f t="shared" si="18"/>
        <v/>
      </c>
      <c r="C112" s="495">
        <f>IF(D94="","-",+C111+1)</f>
        <v>2025</v>
      </c>
      <c r="D112" s="349"/>
      <c r="E112" s="629"/>
      <c r="F112" s="510"/>
      <c r="G112" s="510"/>
      <c r="H112" s="630"/>
      <c r="I112" s="631"/>
      <c r="J112" s="504">
        <f t="shared" si="19"/>
        <v>0</v>
      </c>
      <c r="K112" s="504"/>
      <c r="L112" s="512"/>
      <c r="M112" s="504">
        <f t="shared" si="15"/>
        <v>0</v>
      </c>
      <c r="N112" s="512"/>
      <c r="O112" s="504">
        <f t="shared" si="16"/>
        <v>0</v>
      </c>
      <c r="P112" s="504">
        <f t="shared" si="17"/>
        <v>0</v>
      </c>
      <c r="Q112" s="243"/>
      <c r="R112" s="243"/>
      <c r="S112" s="243"/>
      <c r="T112" s="243"/>
      <c r="U112" s="243"/>
    </row>
    <row r="113" spans="2:21">
      <c r="B113" s="145" t="str">
        <f t="shared" si="18"/>
        <v/>
      </c>
      <c r="C113" s="495">
        <f>IF(D94="","-",+C112+1)</f>
        <v>2026</v>
      </c>
      <c r="D113" s="349"/>
      <c r="E113" s="629"/>
      <c r="F113" s="510"/>
      <c r="G113" s="510"/>
      <c r="H113" s="630"/>
      <c r="I113" s="631"/>
      <c r="J113" s="504">
        <f t="shared" si="19"/>
        <v>0</v>
      </c>
      <c r="K113" s="504"/>
      <c r="L113" s="512"/>
      <c r="M113" s="504">
        <f t="shared" si="15"/>
        <v>0</v>
      </c>
      <c r="N113" s="512"/>
      <c r="O113" s="504">
        <f t="shared" si="16"/>
        <v>0</v>
      </c>
      <c r="P113" s="504">
        <f t="shared" si="17"/>
        <v>0</v>
      </c>
      <c r="Q113" s="243"/>
      <c r="R113" s="243"/>
      <c r="S113" s="243"/>
      <c r="T113" s="243"/>
      <c r="U113" s="243"/>
    </row>
    <row r="114" spans="2:21">
      <c r="B114" s="145" t="str">
        <f t="shared" si="18"/>
        <v/>
      </c>
      <c r="C114" s="495">
        <f>IF(D94="","-",+C113+1)</f>
        <v>2027</v>
      </c>
      <c r="D114" s="349"/>
      <c r="E114" s="629"/>
      <c r="F114" s="510"/>
      <c r="G114" s="510"/>
      <c r="H114" s="630"/>
      <c r="I114" s="631"/>
      <c r="J114" s="504">
        <f t="shared" si="19"/>
        <v>0</v>
      </c>
      <c r="K114" s="504"/>
      <c r="L114" s="512"/>
      <c r="M114" s="504">
        <f t="shared" si="15"/>
        <v>0</v>
      </c>
      <c r="N114" s="512"/>
      <c r="O114" s="504">
        <f t="shared" si="16"/>
        <v>0</v>
      </c>
      <c r="P114" s="504">
        <f t="shared" si="17"/>
        <v>0</v>
      </c>
      <c r="Q114" s="243"/>
      <c r="R114" s="243"/>
      <c r="S114" s="243"/>
      <c r="T114" s="243"/>
      <c r="U114" s="243"/>
    </row>
    <row r="115" spans="2:21">
      <c r="B115" s="145" t="str">
        <f t="shared" si="18"/>
        <v/>
      </c>
      <c r="C115" s="495">
        <f>IF(D94="","-",+C114+1)</f>
        <v>2028</v>
      </c>
      <c r="D115" s="349"/>
      <c r="E115" s="629"/>
      <c r="F115" s="510"/>
      <c r="G115" s="510"/>
      <c r="H115" s="630"/>
      <c r="I115" s="631"/>
      <c r="J115" s="504">
        <f t="shared" si="19"/>
        <v>0</v>
      </c>
      <c r="K115" s="504"/>
      <c r="L115" s="512"/>
      <c r="M115" s="504">
        <f t="shared" si="15"/>
        <v>0</v>
      </c>
      <c r="N115" s="512"/>
      <c r="O115" s="504">
        <f t="shared" si="16"/>
        <v>0</v>
      </c>
      <c r="P115" s="504">
        <f t="shared" si="17"/>
        <v>0</v>
      </c>
      <c r="Q115" s="243"/>
      <c r="R115" s="243"/>
      <c r="S115" s="243"/>
      <c r="T115" s="243"/>
      <c r="U115" s="243"/>
    </row>
    <row r="116" spans="2:21">
      <c r="B116" s="145" t="str">
        <f t="shared" si="18"/>
        <v/>
      </c>
      <c r="C116" s="495">
        <f>IF(D94="","-",+C115+1)</f>
        <v>2029</v>
      </c>
      <c r="D116" s="349"/>
      <c r="E116" s="629"/>
      <c r="F116" s="510"/>
      <c r="G116" s="510"/>
      <c r="H116" s="630"/>
      <c r="I116" s="631"/>
      <c r="J116" s="504">
        <f t="shared" si="19"/>
        <v>0</v>
      </c>
      <c r="K116" s="504"/>
      <c r="L116" s="512"/>
      <c r="M116" s="504">
        <f t="shared" si="15"/>
        <v>0</v>
      </c>
      <c r="N116" s="512"/>
      <c r="O116" s="504">
        <f t="shared" si="16"/>
        <v>0</v>
      </c>
      <c r="P116" s="504">
        <f t="shared" si="17"/>
        <v>0</v>
      </c>
      <c r="Q116" s="243"/>
      <c r="R116" s="243"/>
      <c r="S116" s="243"/>
      <c r="T116" s="243"/>
      <c r="U116" s="243"/>
    </row>
    <row r="117" spans="2:21">
      <c r="B117" s="145" t="str">
        <f t="shared" si="18"/>
        <v/>
      </c>
      <c r="C117" s="495">
        <f>IF(D94="","-",+C116+1)</f>
        <v>2030</v>
      </c>
      <c r="D117" s="349"/>
      <c r="E117" s="629"/>
      <c r="F117" s="510"/>
      <c r="G117" s="510"/>
      <c r="H117" s="630"/>
      <c r="I117" s="631"/>
      <c r="J117" s="504">
        <f t="shared" si="19"/>
        <v>0</v>
      </c>
      <c r="K117" s="504"/>
      <c r="L117" s="512"/>
      <c r="M117" s="504">
        <f t="shared" si="15"/>
        <v>0</v>
      </c>
      <c r="N117" s="512"/>
      <c r="O117" s="504">
        <f t="shared" si="16"/>
        <v>0</v>
      </c>
      <c r="P117" s="504">
        <f t="shared" si="17"/>
        <v>0</v>
      </c>
      <c r="Q117" s="243"/>
      <c r="R117" s="243"/>
      <c r="S117" s="243"/>
      <c r="T117" s="243"/>
      <c r="U117" s="243"/>
    </row>
    <row r="118" spans="2:21">
      <c r="B118" s="145" t="str">
        <f t="shared" si="18"/>
        <v/>
      </c>
      <c r="C118" s="495">
        <f>IF(D94="","-",+C117+1)</f>
        <v>2031</v>
      </c>
      <c r="D118" s="349"/>
      <c r="E118" s="629"/>
      <c r="F118" s="510"/>
      <c r="G118" s="510"/>
      <c r="H118" s="630"/>
      <c r="I118" s="631"/>
      <c r="J118" s="504">
        <f t="shared" si="19"/>
        <v>0</v>
      </c>
      <c r="K118" s="504"/>
      <c r="L118" s="512"/>
      <c r="M118" s="504">
        <f t="shared" si="15"/>
        <v>0</v>
      </c>
      <c r="N118" s="512"/>
      <c r="O118" s="504">
        <f t="shared" si="16"/>
        <v>0</v>
      </c>
      <c r="P118" s="504">
        <f t="shared" si="17"/>
        <v>0</v>
      </c>
      <c r="Q118" s="243"/>
      <c r="R118" s="243"/>
      <c r="S118" s="243"/>
      <c r="T118" s="243"/>
      <c r="U118" s="243"/>
    </row>
    <row r="119" spans="2:21">
      <c r="B119" s="145" t="str">
        <f t="shared" si="18"/>
        <v/>
      </c>
      <c r="C119" s="495">
        <f>IF(D94="","-",+C118+1)</f>
        <v>2032</v>
      </c>
      <c r="D119" s="349"/>
      <c r="E119" s="629"/>
      <c r="F119" s="510"/>
      <c r="G119" s="510"/>
      <c r="H119" s="630"/>
      <c r="I119" s="631"/>
      <c r="J119" s="504">
        <f t="shared" si="19"/>
        <v>0</v>
      </c>
      <c r="K119" s="504"/>
      <c r="L119" s="512"/>
      <c r="M119" s="504">
        <f t="shared" si="15"/>
        <v>0</v>
      </c>
      <c r="N119" s="512"/>
      <c r="O119" s="504">
        <f t="shared" si="16"/>
        <v>0</v>
      </c>
      <c r="P119" s="504">
        <f t="shared" si="17"/>
        <v>0</v>
      </c>
      <c r="Q119" s="243"/>
      <c r="R119" s="243"/>
      <c r="S119" s="243"/>
      <c r="T119" s="243"/>
      <c r="U119" s="243"/>
    </row>
    <row r="120" spans="2:21">
      <c r="B120" s="145" t="str">
        <f t="shared" si="18"/>
        <v/>
      </c>
      <c r="C120" s="495">
        <f>IF(D94="","-",+C119+1)</f>
        <v>2033</v>
      </c>
      <c r="D120" s="349"/>
      <c r="E120" s="629"/>
      <c r="F120" s="510"/>
      <c r="G120" s="510"/>
      <c r="H120" s="630"/>
      <c r="I120" s="631"/>
      <c r="J120" s="504">
        <f t="shared" si="19"/>
        <v>0</v>
      </c>
      <c r="K120" s="504"/>
      <c r="L120" s="512"/>
      <c r="M120" s="504">
        <f t="shared" si="15"/>
        <v>0</v>
      </c>
      <c r="N120" s="512"/>
      <c r="O120" s="504">
        <f t="shared" si="16"/>
        <v>0</v>
      </c>
      <c r="P120" s="504">
        <f t="shared" si="17"/>
        <v>0</v>
      </c>
      <c r="Q120" s="243"/>
      <c r="R120" s="243"/>
      <c r="S120" s="243"/>
      <c r="T120" s="243"/>
      <c r="U120" s="243"/>
    </row>
    <row r="121" spans="2:21">
      <c r="B121" s="145" t="str">
        <f t="shared" si="18"/>
        <v/>
      </c>
      <c r="C121" s="495">
        <f>IF(D94="","-",+C120+1)</f>
        <v>2034</v>
      </c>
      <c r="D121" s="349"/>
      <c r="E121" s="629"/>
      <c r="F121" s="510"/>
      <c r="G121" s="510"/>
      <c r="H121" s="630"/>
      <c r="I121" s="631"/>
      <c r="J121" s="504">
        <f t="shared" si="19"/>
        <v>0</v>
      </c>
      <c r="K121" s="504"/>
      <c r="L121" s="512"/>
      <c r="M121" s="504">
        <f t="shared" si="15"/>
        <v>0</v>
      </c>
      <c r="N121" s="512"/>
      <c r="O121" s="504">
        <f t="shared" si="16"/>
        <v>0</v>
      </c>
      <c r="P121" s="504">
        <f t="shared" si="17"/>
        <v>0</v>
      </c>
      <c r="Q121" s="243"/>
      <c r="R121" s="243"/>
      <c r="S121" s="243"/>
      <c r="T121" s="243"/>
      <c r="U121" s="243"/>
    </row>
    <row r="122" spans="2:21">
      <c r="B122" s="145" t="str">
        <f t="shared" si="18"/>
        <v/>
      </c>
      <c r="C122" s="495">
        <f>IF(D94="","-",+C121+1)</f>
        <v>2035</v>
      </c>
      <c r="D122" s="349"/>
      <c r="E122" s="629"/>
      <c r="F122" s="510"/>
      <c r="G122" s="510"/>
      <c r="H122" s="630"/>
      <c r="I122" s="631"/>
      <c r="J122" s="504">
        <f t="shared" si="19"/>
        <v>0</v>
      </c>
      <c r="K122" s="504"/>
      <c r="L122" s="512"/>
      <c r="M122" s="504">
        <f t="shared" si="15"/>
        <v>0</v>
      </c>
      <c r="N122" s="512"/>
      <c r="O122" s="504">
        <f t="shared" si="16"/>
        <v>0</v>
      </c>
      <c r="P122" s="504">
        <f t="shared" si="17"/>
        <v>0</v>
      </c>
      <c r="Q122" s="243"/>
      <c r="R122" s="243"/>
      <c r="S122" s="243"/>
      <c r="T122" s="243"/>
      <c r="U122" s="243"/>
    </row>
    <row r="123" spans="2:21">
      <c r="B123" s="145" t="str">
        <f t="shared" si="18"/>
        <v/>
      </c>
      <c r="C123" s="495">
        <f>IF(D94="","-",+C122+1)</f>
        <v>2036</v>
      </c>
      <c r="D123" s="349"/>
      <c r="E123" s="629"/>
      <c r="F123" s="510"/>
      <c r="G123" s="510"/>
      <c r="H123" s="630"/>
      <c r="I123" s="631"/>
      <c r="J123" s="504">
        <f t="shared" si="19"/>
        <v>0</v>
      </c>
      <c r="K123" s="504"/>
      <c r="L123" s="512"/>
      <c r="M123" s="504">
        <f t="shared" si="15"/>
        <v>0</v>
      </c>
      <c r="N123" s="512"/>
      <c r="O123" s="504">
        <f t="shared" si="16"/>
        <v>0</v>
      </c>
      <c r="P123" s="504">
        <f t="shared" si="17"/>
        <v>0</v>
      </c>
      <c r="Q123" s="243"/>
      <c r="R123" s="243"/>
      <c r="S123" s="243"/>
      <c r="T123" s="243"/>
      <c r="U123" s="243"/>
    </row>
    <row r="124" spans="2:21">
      <c r="B124" s="145" t="str">
        <f t="shared" si="18"/>
        <v/>
      </c>
      <c r="C124" s="495">
        <f>IF(D94="","-",+C123+1)</f>
        <v>2037</v>
      </c>
      <c r="D124" s="349"/>
      <c r="E124" s="629"/>
      <c r="F124" s="510"/>
      <c r="G124" s="510"/>
      <c r="H124" s="630"/>
      <c r="I124" s="631"/>
      <c r="J124" s="504">
        <f t="shared" si="19"/>
        <v>0</v>
      </c>
      <c r="K124" s="504"/>
      <c r="L124" s="512"/>
      <c r="M124" s="504">
        <f t="shared" si="15"/>
        <v>0</v>
      </c>
      <c r="N124" s="512"/>
      <c r="O124" s="504">
        <f t="shared" si="16"/>
        <v>0</v>
      </c>
      <c r="P124" s="504">
        <f t="shared" si="17"/>
        <v>0</v>
      </c>
      <c r="Q124" s="243"/>
      <c r="R124" s="243"/>
      <c r="S124" s="243"/>
      <c r="T124" s="243"/>
      <c r="U124" s="243"/>
    </row>
    <row r="125" spans="2:21">
      <c r="B125" s="145" t="str">
        <f t="shared" si="18"/>
        <v/>
      </c>
      <c r="C125" s="495">
        <f>IF(D94="","-",+C124+1)</f>
        <v>2038</v>
      </c>
      <c r="D125" s="349"/>
      <c r="E125" s="629"/>
      <c r="F125" s="510"/>
      <c r="G125" s="510"/>
      <c r="H125" s="630"/>
      <c r="I125" s="631"/>
      <c r="J125" s="504">
        <f t="shared" si="19"/>
        <v>0</v>
      </c>
      <c r="K125" s="504"/>
      <c r="L125" s="512"/>
      <c r="M125" s="504">
        <f t="shared" si="15"/>
        <v>0</v>
      </c>
      <c r="N125" s="512"/>
      <c r="O125" s="504">
        <f t="shared" si="16"/>
        <v>0</v>
      </c>
      <c r="P125" s="504">
        <f t="shared" si="17"/>
        <v>0</v>
      </c>
      <c r="Q125" s="243"/>
      <c r="R125" s="243"/>
      <c r="S125" s="243"/>
      <c r="T125" s="243"/>
      <c r="U125" s="243"/>
    </row>
    <row r="126" spans="2:21">
      <c r="B126" s="145" t="str">
        <f t="shared" si="18"/>
        <v/>
      </c>
      <c r="C126" s="495">
        <f>IF(D94="","-",+C125+1)</f>
        <v>2039</v>
      </c>
      <c r="D126" s="349"/>
      <c r="E126" s="629"/>
      <c r="F126" s="510"/>
      <c r="G126" s="510"/>
      <c r="H126" s="630"/>
      <c r="I126" s="631"/>
      <c r="J126" s="504">
        <f t="shared" si="19"/>
        <v>0</v>
      </c>
      <c r="K126" s="504"/>
      <c r="L126" s="512"/>
      <c r="M126" s="504">
        <f t="shared" si="15"/>
        <v>0</v>
      </c>
      <c r="N126" s="512"/>
      <c r="O126" s="504">
        <f t="shared" si="16"/>
        <v>0</v>
      </c>
      <c r="P126" s="504">
        <f t="shared" si="17"/>
        <v>0</v>
      </c>
      <c r="Q126" s="243"/>
      <c r="R126" s="243"/>
      <c r="S126" s="243"/>
      <c r="T126" s="243"/>
      <c r="U126" s="243"/>
    </row>
    <row r="127" spans="2:21">
      <c r="B127" s="145" t="str">
        <f t="shared" si="18"/>
        <v/>
      </c>
      <c r="C127" s="495">
        <f>IF(D94="","-",+C126+1)</f>
        <v>2040</v>
      </c>
      <c r="D127" s="349"/>
      <c r="E127" s="629"/>
      <c r="F127" s="510"/>
      <c r="G127" s="510"/>
      <c r="H127" s="630"/>
      <c r="I127" s="631"/>
      <c r="J127" s="504">
        <f t="shared" si="19"/>
        <v>0</v>
      </c>
      <c r="K127" s="504"/>
      <c r="L127" s="512"/>
      <c r="M127" s="504">
        <f t="shared" si="15"/>
        <v>0</v>
      </c>
      <c r="N127" s="512"/>
      <c r="O127" s="504">
        <f t="shared" si="16"/>
        <v>0</v>
      </c>
      <c r="P127" s="504">
        <f t="shared" si="17"/>
        <v>0</v>
      </c>
      <c r="Q127" s="243"/>
      <c r="R127" s="243"/>
      <c r="S127" s="243"/>
      <c r="T127" s="243"/>
      <c r="U127" s="243"/>
    </row>
    <row r="128" spans="2:21">
      <c r="B128" s="145" t="str">
        <f t="shared" si="18"/>
        <v/>
      </c>
      <c r="C128" s="495">
        <f>IF(D94="","-",+C127+1)</f>
        <v>2041</v>
      </c>
      <c r="D128" s="349"/>
      <c r="E128" s="629"/>
      <c r="F128" s="510"/>
      <c r="G128" s="510"/>
      <c r="H128" s="630"/>
      <c r="I128" s="631"/>
      <c r="J128" s="504">
        <f t="shared" si="19"/>
        <v>0</v>
      </c>
      <c r="K128" s="504"/>
      <c r="L128" s="512"/>
      <c r="M128" s="504">
        <f t="shared" si="15"/>
        <v>0</v>
      </c>
      <c r="N128" s="512"/>
      <c r="O128" s="504">
        <f t="shared" si="16"/>
        <v>0</v>
      </c>
      <c r="P128" s="504">
        <f t="shared" si="17"/>
        <v>0</v>
      </c>
      <c r="Q128" s="243"/>
      <c r="R128" s="243"/>
      <c r="S128" s="243"/>
      <c r="T128" s="243"/>
      <c r="U128" s="243"/>
    </row>
    <row r="129" spans="2:21">
      <c r="B129" s="145" t="str">
        <f t="shared" si="18"/>
        <v/>
      </c>
      <c r="C129" s="495">
        <f>IF(D94="","-",+C128+1)</f>
        <v>2042</v>
      </c>
      <c r="D129" s="349"/>
      <c r="E129" s="629"/>
      <c r="F129" s="510"/>
      <c r="G129" s="510"/>
      <c r="H129" s="630"/>
      <c r="I129" s="631"/>
      <c r="J129" s="504">
        <f t="shared" si="19"/>
        <v>0</v>
      </c>
      <c r="K129" s="504"/>
      <c r="L129" s="512"/>
      <c r="M129" s="504">
        <f t="shared" si="15"/>
        <v>0</v>
      </c>
      <c r="N129" s="512"/>
      <c r="O129" s="504">
        <f t="shared" si="16"/>
        <v>0</v>
      </c>
      <c r="P129" s="504">
        <f t="shared" si="17"/>
        <v>0</v>
      </c>
      <c r="Q129" s="243"/>
      <c r="R129" s="243"/>
      <c r="S129" s="243"/>
      <c r="T129" s="243"/>
      <c r="U129" s="243"/>
    </row>
    <row r="130" spans="2:21">
      <c r="B130" s="145" t="str">
        <f t="shared" si="18"/>
        <v/>
      </c>
      <c r="C130" s="495">
        <f>IF(D94="","-",+C129+1)</f>
        <v>2043</v>
      </c>
      <c r="D130" s="349"/>
      <c r="E130" s="629"/>
      <c r="F130" s="510"/>
      <c r="G130" s="510"/>
      <c r="H130" s="630"/>
      <c r="I130" s="631"/>
      <c r="J130" s="504">
        <f t="shared" si="19"/>
        <v>0</v>
      </c>
      <c r="K130" s="504"/>
      <c r="L130" s="512"/>
      <c r="M130" s="504">
        <f t="shared" si="15"/>
        <v>0</v>
      </c>
      <c r="N130" s="512"/>
      <c r="O130" s="504">
        <f t="shared" si="16"/>
        <v>0</v>
      </c>
      <c r="P130" s="504">
        <f t="shared" si="17"/>
        <v>0</v>
      </c>
      <c r="Q130" s="243"/>
      <c r="R130" s="243"/>
      <c r="S130" s="243"/>
      <c r="T130" s="243"/>
      <c r="U130" s="243"/>
    </row>
    <row r="131" spans="2:21">
      <c r="B131" s="145" t="str">
        <f t="shared" si="18"/>
        <v/>
      </c>
      <c r="C131" s="495">
        <f>IF(D94="","-",+C130+1)</f>
        <v>2044</v>
      </c>
      <c r="D131" s="349"/>
      <c r="E131" s="629"/>
      <c r="F131" s="510"/>
      <c r="G131" s="510"/>
      <c r="H131" s="630"/>
      <c r="I131" s="631"/>
      <c r="J131" s="504">
        <f t="shared" si="19"/>
        <v>0</v>
      </c>
      <c r="K131" s="504"/>
      <c r="L131" s="512"/>
      <c r="M131" s="504">
        <f t="shared" si="15"/>
        <v>0</v>
      </c>
      <c r="N131" s="512"/>
      <c r="O131" s="504">
        <f t="shared" si="16"/>
        <v>0</v>
      </c>
      <c r="P131" s="504">
        <f t="shared" si="17"/>
        <v>0</v>
      </c>
      <c r="Q131" s="243"/>
      <c r="R131" s="243"/>
      <c r="S131" s="243"/>
      <c r="T131" s="243"/>
      <c r="U131" s="243"/>
    </row>
    <row r="132" spans="2:21">
      <c r="B132" s="145" t="str">
        <f t="shared" si="18"/>
        <v/>
      </c>
      <c r="C132" s="495">
        <f>IF(D94="","-",+C131+1)</f>
        <v>2045</v>
      </c>
      <c r="D132" s="349"/>
      <c r="E132" s="629"/>
      <c r="F132" s="510"/>
      <c r="G132" s="510"/>
      <c r="H132" s="630"/>
      <c r="I132" s="631"/>
      <c r="J132" s="504">
        <f t="shared" si="19"/>
        <v>0</v>
      </c>
      <c r="K132" s="504"/>
      <c r="L132" s="512"/>
      <c r="M132" s="504">
        <f t="shared" ref="M132:M155" si="20">IF(L542&lt;&gt;0,+H542-L542,0)</f>
        <v>0</v>
      </c>
      <c r="N132" s="512"/>
      <c r="O132" s="504">
        <f t="shared" ref="O132:O155" si="21">IF(N542&lt;&gt;0,+I542-N542,0)</f>
        <v>0</v>
      </c>
      <c r="P132" s="504">
        <f t="shared" ref="P132:P155" si="22">+O542-M542</f>
        <v>0</v>
      </c>
      <c r="Q132" s="243"/>
      <c r="R132" s="243"/>
      <c r="S132" s="243"/>
      <c r="T132" s="243"/>
      <c r="U132" s="243"/>
    </row>
    <row r="133" spans="2:21">
      <c r="B133" s="145" t="str">
        <f t="shared" si="18"/>
        <v/>
      </c>
      <c r="C133" s="495">
        <f>IF(D94="","-",+C132+1)</f>
        <v>2046</v>
      </c>
      <c r="D133" s="349"/>
      <c r="E133" s="629"/>
      <c r="F133" s="510"/>
      <c r="G133" s="510"/>
      <c r="H133" s="630"/>
      <c r="I133" s="631"/>
      <c r="J133" s="504">
        <f t="shared" si="19"/>
        <v>0</v>
      </c>
      <c r="K133" s="504"/>
      <c r="L133" s="512"/>
      <c r="M133" s="504">
        <f t="shared" si="20"/>
        <v>0</v>
      </c>
      <c r="N133" s="512"/>
      <c r="O133" s="504">
        <f t="shared" si="21"/>
        <v>0</v>
      </c>
      <c r="P133" s="504">
        <f t="shared" si="22"/>
        <v>0</v>
      </c>
      <c r="Q133" s="243"/>
      <c r="R133" s="243"/>
      <c r="S133" s="243"/>
      <c r="T133" s="243"/>
      <c r="U133" s="243"/>
    </row>
    <row r="134" spans="2:21">
      <c r="B134" s="145" t="str">
        <f t="shared" si="18"/>
        <v/>
      </c>
      <c r="C134" s="495">
        <f>IF(D94="","-",+C133+1)</f>
        <v>2047</v>
      </c>
      <c r="D134" s="349"/>
      <c r="E134" s="629"/>
      <c r="F134" s="510"/>
      <c r="G134" s="510"/>
      <c r="H134" s="630"/>
      <c r="I134" s="631"/>
      <c r="J134" s="504">
        <f t="shared" si="19"/>
        <v>0</v>
      </c>
      <c r="K134" s="504"/>
      <c r="L134" s="512"/>
      <c r="M134" s="504">
        <f t="shared" si="20"/>
        <v>0</v>
      </c>
      <c r="N134" s="512"/>
      <c r="O134" s="504">
        <f t="shared" si="21"/>
        <v>0</v>
      </c>
      <c r="P134" s="504">
        <f t="shared" si="22"/>
        <v>0</v>
      </c>
      <c r="Q134" s="243"/>
      <c r="R134" s="243"/>
      <c r="S134" s="243"/>
      <c r="T134" s="243"/>
      <c r="U134" s="243"/>
    </row>
    <row r="135" spans="2:21">
      <c r="B135" s="145" t="str">
        <f t="shared" si="18"/>
        <v/>
      </c>
      <c r="C135" s="495">
        <f>IF(D94="","-",+C134+1)</f>
        <v>2048</v>
      </c>
      <c r="D135" s="349"/>
      <c r="E135" s="629"/>
      <c r="F135" s="510"/>
      <c r="G135" s="510"/>
      <c r="H135" s="630"/>
      <c r="I135" s="631"/>
      <c r="J135" s="504">
        <f t="shared" si="19"/>
        <v>0</v>
      </c>
      <c r="K135" s="504"/>
      <c r="L135" s="512"/>
      <c r="M135" s="504">
        <f t="shared" si="20"/>
        <v>0</v>
      </c>
      <c r="N135" s="512"/>
      <c r="O135" s="504">
        <f t="shared" si="21"/>
        <v>0</v>
      </c>
      <c r="P135" s="504">
        <f t="shared" si="22"/>
        <v>0</v>
      </c>
      <c r="Q135" s="243"/>
      <c r="R135" s="243"/>
      <c r="S135" s="243"/>
      <c r="T135" s="243"/>
      <c r="U135" s="243"/>
    </row>
    <row r="136" spans="2:21">
      <c r="B136" s="145" t="str">
        <f t="shared" si="18"/>
        <v/>
      </c>
      <c r="C136" s="495">
        <f>IF(D94="","-",+C135+1)</f>
        <v>2049</v>
      </c>
      <c r="D136" s="349"/>
      <c r="E136" s="629"/>
      <c r="F136" s="510"/>
      <c r="G136" s="510"/>
      <c r="H136" s="630"/>
      <c r="I136" s="631"/>
      <c r="J136" s="504">
        <f t="shared" si="19"/>
        <v>0</v>
      </c>
      <c r="K136" s="504"/>
      <c r="L136" s="512"/>
      <c r="M136" s="504">
        <f t="shared" si="20"/>
        <v>0</v>
      </c>
      <c r="N136" s="512"/>
      <c r="O136" s="504">
        <f t="shared" si="21"/>
        <v>0</v>
      </c>
      <c r="P136" s="504">
        <f t="shared" si="22"/>
        <v>0</v>
      </c>
      <c r="Q136" s="243"/>
      <c r="R136" s="243"/>
      <c r="S136" s="243"/>
      <c r="T136" s="243"/>
      <c r="U136" s="243"/>
    </row>
    <row r="137" spans="2:21">
      <c r="B137" s="145" t="str">
        <f t="shared" si="18"/>
        <v/>
      </c>
      <c r="C137" s="495">
        <f>IF(D94="","-",+C136+1)</f>
        <v>2050</v>
      </c>
      <c r="D137" s="349"/>
      <c r="E137" s="629"/>
      <c r="F137" s="510"/>
      <c r="G137" s="510"/>
      <c r="H137" s="630"/>
      <c r="I137" s="631"/>
      <c r="J137" s="504">
        <f t="shared" si="19"/>
        <v>0</v>
      </c>
      <c r="K137" s="504"/>
      <c r="L137" s="512"/>
      <c r="M137" s="504">
        <f t="shared" si="20"/>
        <v>0</v>
      </c>
      <c r="N137" s="512"/>
      <c r="O137" s="504">
        <f t="shared" si="21"/>
        <v>0</v>
      </c>
      <c r="P137" s="504">
        <f t="shared" si="22"/>
        <v>0</v>
      </c>
      <c r="Q137" s="243"/>
      <c r="R137" s="243"/>
      <c r="S137" s="243"/>
      <c r="T137" s="243"/>
      <c r="U137" s="243"/>
    </row>
    <row r="138" spans="2:21">
      <c r="B138" s="145" t="str">
        <f t="shared" si="18"/>
        <v/>
      </c>
      <c r="C138" s="495">
        <f>IF(D94="","-",+C137+1)</f>
        <v>2051</v>
      </c>
      <c r="D138" s="349"/>
      <c r="E138" s="629"/>
      <c r="F138" s="510"/>
      <c r="G138" s="510"/>
      <c r="H138" s="630"/>
      <c r="I138" s="631"/>
      <c r="J138" s="504">
        <f t="shared" si="19"/>
        <v>0</v>
      </c>
      <c r="K138" s="504"/>
      <c r="L138" s="512"/>
      <c r="M138" s="504">
        <f t="shared" si="20"/>
        <v>0</v>
      </c>
      <c r="N138" s="512"/>
      <c r="O138" s="504">
        <f t="shared" si="21"/>
        <v>0</v>
      </c>
      <c r="P138" s="504">
        <f t="shared" si="22"/>
        <v>0</v>
      </c>
      <c r="Q138" s="243"/>
      <c r="R138" s="243"/>
      <c r="S138" s="243"/>
      <c r="T138" s="243"/>
      <c r="U138" s="243"/>
    </row>
    <row r="139" spans="2:21">
      <c r="B139" s="145" t="str">
        <f t="shared" si="18"/>
        <v/>
      </c>
      <c r="C139" s="495">
        <f>IF(D94="","-",+C138+1)</f>
        <v>2052</v>
      </c>
      <c r="D139" s="349"/>
      <c r="E139" s="629"/>
      <c r="F139" s="510"/>
      <c r="G139" s="510"/>
      <c r="H139" s="630"/>
      <c r="I139" s="631"/>
      <c r="J139" s="504">
        <f t="shared" si="19"/>
        <v>0</v>
      </c>
      <c r="K139" s="504"/>
      <c r="L139" s="512"/>
      <c r="M139" s="504">
        <f t="shared" si="20"/>
        <v>0</v>
      </c>
      <c r="N139" s="512"/>
      <c r="O139" s="504">
        <f t="shared" si="21"/>
        <v>0</v>
      </c>
      <c r="P139" s="504">
        <f t="shared" si="22"/>
        <v>0</v>
      </c>
      <c r="Q139" s="243"/>
      <c r="R139" s="243"/>
      <c r="S139" s="243"/>
      <c r="T139" s="243"/>
      <c r="U139" s="243"/>
    </row>
    <row r="140" spans="2:21">
      <c r="B140" s="145" t="str">
        <f t="shared" si="18"/>
        <v/>
      </c>
      <c r="C140" s="495">
        <f>IF(D94="","-",+C139+1)</f>
        <v>2053</v>
      </c>
      <c r="D140" s="349"/>
      <c r="E140" s="629"/>
      <c r="F140" s="510"/>
      <c r="G140" s="510"/>
      <c r="H140" s="630"/>
      <c r="I140" s="631"/>
      <c r="J140" s="504">
        <f t="shared" si="19"/>
        <v>0</v>
      </c>
      <c r="K140" s="504"/>
      <c r="L140" s="512"/>
      <c r="M140" s="504">
        <f t="shared" si="20"/>
        <v>0</v>
      </c>
      <c r="N140" s="512"/>
      <c r="O140" s="504">
        <f t="shared" si="21"/>
        <v>0</v>
      </c>
      <c r="P140" s="504">
        <f t="shared" si="22"/>
        <v>0</v>
      </c>
      <c r="Q140" s="243"/>
      <c r="R140" s="243"/>
      <c r="S140" s="243"/>
      <c r="T140" s="243"/>
      <c r="U140" s="243"/>
    </row>
    <row r="141" spans="2:21">
      <c r="B141" s="145" t="str">
        <f t="shared" si="18"/>
        <v/>
      </c>
      <c r="C141" s="495">
        <f>IF(D94="","-",+C140+1)</f>
        <v>2054</v>
      </c>
      <c r="D141" s="349"/>
      <c r="E141" s="629"/>
      <c r="F141" s="510"/>
      <c r="G141" s="510"/>
      <c r="H141" s="630"/>
      <c r="I141" s="631"/>
      <c r="J141" s="504">
        <f t="shared" si="19"/>
        <v>0</v>
      </c>
      <c r="K141" s="504"/>
      <c r="L141" s="512"/>
      <c r="M141" s="504">
        <f t="shared" si="20"/>
        <v>0</v>
      </c>
      <c r="N141" s="512"/>
      <c r="O141" s="504">
        <f t="shared" si="21"/>
        <v>0</v>
      </c>
      <c r="P141" s="504">
        <f t="shared" si="22"/>
        <v>0</v>
      </c>
      <c r="Q141" s="243"/>
      <c r="R141" s="243"/>
      <c r="S141" s="243"/>
      <c r="T141" s="243"/>
      <c r="U141" s="243"/>
    </row>
    <row r="142" spans="2:21">
      <c r="B142" s="145" t="str">
        <f t="shared" si="18"/>
        <v/>
      </c>
      <c r="C142" s="495">
        <f>IF(D94="","-",+C141+1)</f>
        <v>2055</v>
      </c>
      <c r="D142" s="349"/>
      <c r="E142" s="629"/>
      <c r="F142" s="510"/>
      <c r="G142" s="510"/>
      <c r="H142" s="630"/>
      <c r="I142" s="631"/>
      <c r="J142" s="504">
        <f t="shared" si="19"/>
        <v>0</v>
      </c>
      <c r="K142" s="504"/>
      <c r="L142" s="512"/>
      <c r="M142" s="504">
        <f t="shared" si="20"/>
        <v>0</v>
      </c>
      <c r="N142" s="512"/>
      <c r="O142" s="504">
        <f t="shared" si="21"/>
        <v>0</v>
      </c>
      <c r="P142" s="504">
        <f t="shared" si="22"/>
        <v>0</v>
      </c>
      <c r="Q142" s="243"/>
      <c r="R142" s="243"/>
      <c r="S142" s="243"/>
      <c r="T142" s="243"/>
      <c r="U142" s="243"/>
    </row>
    <row r="143" spans="2:21">
      <c r="B143" s="145" t="str">
        <f t="shared" si="18"/>
        <v/>
      </c>
      <c r="C143" s="495">
        <f>IF(D94="","-",+C142+1)</f>
        <v>2056</v>
      </c>
      <c r="D143" s="349"/>
      <c r="E143" s="629"/>
      <c r="F143" s="510"/>
      <c r="G143" s="510"/>
      <c r="H143" s="630"/>
      <c r="I143" s="631"/>
      <c r="J143" s="504">
        <f t="shared" si="19"/>
        <v>0</v>
      </c>
      <c r="K143" s="504"/>
      <c r="L143" s="512"/>
      <c r="M143" s="504">
        <f t="shared" si="20"/>
        <v>0</v>
      </c>
      <c r="N143" s="512"/>
      <c r="O143" s="504">
        <f t="shared" si="21"/>
        <v>0</v>
      </c>
      <c r="P143" s="504">
        <f t="shared" si="22"/>
        <v>0</v>
      </c>
      <c r="Q143" s="243"/>
      <c r="R143" s="243"/>
      <c r="S143" s="243"/>
      <c r="T143" s="243"/>
      <c r="U143" s="243"/>
    </row>
    <row r="144" spans="2:21">
      <c r="B144" s="145" t="str">
        <f t="shared" si="18"/>
        <v/>
      </c>
      <c r="C144" s="495">
        <f>IF(D94="","-",+C143+1)</f>
        <v>2057</v>
      </c>
      <c r="D144" s="349"/>
      <c r="E144" s="629"/>
      <c r="F144" s="510"/>
      <c r="G144" s="510"/>
      <c r="H144" s="630"/>
      <c r="I144" s="631"/>
      <c r="J144" s="504">
        <f t="shared" si="19"/>
        <v>0</v>
      </c>
      <c r="K144" s="504"/>
      <c r="L144" s="512"/>
      <c r="M144" s="504">
        <f t="shared" si="20"/>
        <v>0</v>
      </c>
      <c r="N144" s="512"/>
      <c r="O144" s="504">
        <f t="shared" si="21"/>
        <v>0</v>
      </c>
      <c r="P144" s="504">
        <f t="shared" si="22"/>
        <v>0</v>
      </c>
      <c r="Q144" s="243"/>
      <c r="R144" s="243"/>
      <c r="S144" s="243"/>
      <c r="T144" s="243"/>
      <c r="U144" s="243"/>
    </row>
    <row r="145" spans="2:21">
      <c r="B145" s="145" t="str">
        <f t="shared" si="18"/>
        <v/>
      </c>
      <c r="C145" s="495">
        <f>IF(D94="","-",+C144+1)</f>
        <v>2058</v>
      </c>
      <c r="D145" s="349"/>
      <c r="E145" s="629"/>
      <c r="F145" s="510"/>
      <c r="G145" s="510"/>
      <c r="H145" s="630"/>
      <c r="I145" s="631"/>
      <c r="J145" s="504">
        <f t="shared" si="19"/>
        <v>0</v>
      </c>
      <c r="K145" s="504"/>
      <c r="L145" s="512"/>
      <c r="M145" s="504">
        <f t="shared" si="20"/>
        <v>0</v>
      </c>
      <c r="N145" s="512"/>
      <c r="O145" s="504">
        <f t="shared" si="21"/>
        <v>0</v>
      </c>
      <c r="P145" s="504">
        <f t="shared" si="22"/>
        <v>0</v>
      </c>
      <c r="Q145" s="243"/>
      <c r="R145" s="243"/>
      <c r="S145" s="243"/>
      <c r="T145" s="243"/>
      <c r="U145" s="243"/>
    </row>
    <row r="146" spans="2:21">
      <c r="B146" s="145" t="str">
        <f t="shared" si="18"/>
        <v/>
      </c>
      <c r="C146" s="495">
        <f>IF(D94="","-",+C145+1)</f>
        <v>2059</v>
      </c>
      <c r="D146" s="349"/>
      <c r="E146" s="629"/>
      <c r="F146" s="510"/>
      <c r="G146" s="510"/>
      <c r="H146" s="630"/>
      <c r="I146" s="631"/>
      <c r="J146" s="504">
        <f t="shared" si="19"/>
        <v>0</v>
      </c>
      <c r="K146" s="504"/>
      <c r="L146" s="512"/>
      <c r="M146" s="504">
        <f t="shared" si="20"/>
        <v>0</v>
      </c>
      <c r="N146" s="512"/>
      <c r="O146" s="504">
        <f t="shared" si="21"/>
        <v>0</v>
      </c>
      <c r="P146" s="504">
        <f t="shared" si="22"/>
        <v>0</v>
      </c>
      <c r="Q146" s="243"/>
      <c r="R146" s="243"/>
      <c r="S146" s="243"/>
      <c r="T146" s="243"/>
      <c r="U146" s="243"/>
    </row>
    <row r="147" spans="2:21">
      <c r="B147" s="145" t="str">
        <f t="shared" si="18"/>
        <v/>
      </c>
      <c r="C147" s="495">
        <f>IF(D94="","-",+C146+1)</f>
        <v>2060</v>
      </c>
      <c r="D147" s="349"/>
      <c r="E147" s="629"/>
      <c r="F147" s="510"/>
      <c r="G147" s="510"/>
      <c r="H147" s="630"/>
      <c r="I147" s="631"/>
      <c r="J147" s="504">
        <f t="shared" si="19"/>
        <v>0</v>
      </c>
      <c r="K147" s="504"/>
      <c r="L147" s="512"/>
      <c r="M147" s="504">
        <f t="shared" si="20"/>
        <v>0</v>
      </c>
      <c r="N147" s="512"/>
      <c r="O147" s="504">
        <f t="shared" si="21"/>
        <v>0</v>
      </c>
      <c r="P147" s="504">
        <f t="shared" si="22"/>
        <v>0</v>
      </c>
      <c r="Q147" s="243"/>
      <c r="R147" s="243"/>
      <c r="S147" s="243"/>
      <c r="T147" s="243"/>
      <c r="U147" s="243"/>
    </row>
    <row r="148" spans="2:21">
      <c r="B148" s="145" t="str">
        <f t="shared" si="18"/>
        <v/>
      </c>
      <c r="C148" s="495">
        <f>IF(D94="","-",+C147+1)</f>
        <v>2061</v>
      </c>
      <c r="D148" s="349"/>
      <c r="E148" s="629"/>
      <c r="F148" s="510"/>
      <c r="G148" s="510"/>
      <c r="H148" s="630"/>
      <c r="I148" s="631"/>
      <c r="J148" s="504">
        <f t="shared" si="19"/>
        <v>0</v>
      </c>
      <c r="K148" s="504"/>
      <c r="L148" s="512"/>
      <c r="M148" s="504">
        <f t="shared" si="20"/>
        <v>0</v>
      </c>
      <c r="N148" s="512"/>
      <c r="O148" s="504">
        <f t="shared" si="21"/>
        <v>0</v>
      </c>
      <c r="P148" s="504">
        <f t="shared" si="22"/>
        <v>0</v>
      </c>
      <c r="Q148" s="243"/>
      <c r="R148" s="243"/>
      <c r="S148" s="243"/>
      <c r="T148" s="243"/>
      <c r="U148" s="243"/>
    </row>
    <row r="149" spans="2:21">
      <c r="B149" s="145" t="str">
        <f t="shared" si="18"/>
        <v/>
      </c>
      <c r="C149" s="495">
        <f>IF(D94="","-",+C148+1)</f>
        <v>2062</v>
      </c>
      <c r="D149" s="349"/>
      <c r="E149" s="629"/>
      <c r="F149" s="510"/>
      <c r="G149" s="510"/>
      <c r="H149" s="630"/>
      <c r="I149" s="631"/>
      <c r="J149" s="504">
        <f t="shared" si="19"/>
        <v>0</v>
      </c>
      <c r="K149" s="504"/>
      <c r="L149" s="512"/>
      <c r="M149" s="504">
        <f t="shared" si="20"/>
        <v>0</v>
      </c>
      <c r="N149" s="512"/>
      <c r="O149" s="504">
        <f t="shared" si="21"/>
        <v>0</v>
      </c>
      <c r="P149" s="504">
        <f t="shared" si="22"/>
        <v>0</v>
      </c>
      <c r="Q149" s="243"/>
      <c r="R149" s="243"/>
      <c r="S149" s="243"/>
      <c r="T149" s="243"/>
      <c r="U149" s="243"/>
    </row>
    <row r="150" spans="2:21">
      <c r="B150" s="145" t="str">
        <f t="shared" si="18"/>
        <v/>
      </c>
      <c r="C150" s="495">
        <f>IF(D94="","-",+C149+1)</f>
        <v>2063</v>
      </c>
      <c r="D150" s="349"/>
      <c r="E150" s="629"/>
      <c r="F150" s="510"/>
      <c r="G150" s="510"/>
      <c r="H150" s="630"/>
      <c r="I150" s="631"/>
      <c r="J150" s="504">
        <f t="shared" si="19"/>
        <v>0</v>
      </c>
      <c r="K150" s="504"/>
      <c r="L150" s="512"/>
      <c r="M150" s="504">
        <f t="shared" si="20"/>
        <v>0</v>
      </c>
      <c r="N150" s="512"/>
      <c r="O150" s="504">
        <f t="shared" si="21"/>
        <v>0</v>
      </c>
      <c r="P150" s="504">
        <f t="shared" si="22"/>
        <v>0</v>
      </c>
      <c r="Q150" s="243"/>
      <c r="R150" s="243"/>
      <c r="S150" s="243"/>
      <c r="T150" s="243"/>
      <c r="U150" s="243"/>
    </row>
    <row r="151" spans="2:21">
      <c r="B151" s="145" t="str">
        <f t="shared" si="18"/>
        <v/>
      </c>
      <c r="C151" s="495">
        <f>IF(D94="","-",+C150+1)</f>
        <v>2064</v>
      </c>
      <c r="D151" s="349"/>
      <c r="E151" s="629"/>
      <c r="F151" s="510"/>
      <c r="G151" s="510"/>
      <c r="H151" s="630"/>
      <c r="I151" s="631"/>
      <c r="J151" s="504">
        <f t="shared" si="19"/>
        <v>0</v>
      </c>
      <c r="K151" s="504"/>
      <c r="L151" s="512"/>
      <c r="M151" s="504">
        <f t="shared" si="20"/>
        <v>0</v>
      </c>
      <c r="N151" s="512"/>
      <c r="O151" s="504">
        <f t="shared" si="21"/>
        <v>0</v>
      </c>
      <c r="P151" s="504">
        <f t="shared" si="22"/>
        <v>0</v>
      </c>
      <c r="Q151" s="243"/>
      <c r="R151" s="243"/>
      <c r="S151" s="243"/>
      <c r="T151" s="243"/>
      <c r="U151" s="243"/>
    </row>
    <row r="152" spans="2:21">
      <c r="B152" s="145" t="str">
        <f t="shared" si="18"/>
        <v/>
      </c>
      <c r="C152" s="495">
        <f>IF(D94="","-",+C151+1)</f>
        <v>2065</v>
      </c>
      <c r="D152" s="349"/>
      <c r="E152" s="629"/>
      <c r="F152" s="510"/>
      <c r="G152" s="510"/>
      <c r="H152" s="630"/>
      <c r="I152" s="631"/>
      <c r="J152" s="504">
        <f t="shared" si="19"/>
        <v>0</v>
      </c>
      <c r="K152" s="504"/>
      <c r="L152" s="512"/>
      <c r="M152" s="504">
        <f t="shared" si="20"/>
        <v>0</v>
      </c>
      <c r="N152" s="512"/>
      <c r="O152" s="504">
        <f t="shared" si="21"/>
        <v>0</v>
      </c>
      <c r="P152" s="504">
        <f t="shared" si="22"/>
        <v>0</v>
      </c>
      <c r="Q152" s="243"/>
      <c r="R152" s="243"/>
      <c r="S152" s="243"/>
      <c r="T152" s="243"/>
      <c r="U152" s="243"/>
    </row>
    <row r="153" spans="2:21">
      <c r="B153" s="145" t="str">
        <f t="shared" si="18"/>
        <v/>
      </c>
      <c r="C153" s="495">
        <f>IF(D94="","-",+C152+1)</f>
        <v>2066</v>
      </c>
      <c r="D153" s="349"/>
      <c r="E153" s="629"/>
      <c r="F153" s="510"/>
      <c r="G153" s="510"/>
      <c r="H153" s="630"/>
      <c r="I153" s="631"/>
      <c r="J153" s="504">
        <f t="shared" si="19"/>
        <v>0</v>
      </c>
      <c r="K153" s="504"/>
      <c r="L153" s="512"/>
      <c r="M153" s="504">
        <f t="shared" si="20"/>
        <v>0</v>
      </c>
      <c r="N153" s="512"/>
      <c r="O153" s="504">
        <f t="shared" si="21"/>
        <v>0</v>
      </c>
      <c r="P153" s="504">
        <f t="shared" si="22"/>
        <v>0</v>
      </c>
      <c r="Q153" s="243"/>
      <c r="R153" s="243"/>
      <c r="S153" s="243"/>
      <c r="T153" s="243"/>
      <c r="U153" s="243"/>
    </row>
    <row r="154" spans="2:21">
      <c r="B154" s="145" t="str">
        <f t="shared" si="18"/>
        <v/>
      </c>
      <c r="C154" s="495">
        <f>IF(D94="","-",+C153+1)</f>
        <v>2067</v>
      </c>
      <c r="D154" s="349"/>
      <c r="E154" s="629"/>
      <c r="F154" s="510"/>
      <c r="G154" s="510"/>
      <c r="H154" s="630"/>
      <c r="I154" s="631"/>
      <c r="J154" s="504">
        <f t="shared" si="19"/>
        <v>0</v>
      </c>
      <c r="K154" s="504"/>
      <c r="L154" s="512"/>
      <c r="M154" s="504">
        <f t="shared" si="20"/>
        <v>0</v>
      </c>
      <c r="N154" s="512"/>
      <c r="O154" s="504">
        <f t="shared" si="21"/>
        <v>0</v>
      </c>
      <c r="P154" s="504">
        <f t="shared" si="22"/>
        <v>0</v>
      </c>
      <c r="Q154" s="243"/>
      <c r="R154" s="243"/>
      <c r="S154" s="243"/>
      <c r="T154" s="243"/>
      <c r="U154" s="243"/>
    </row>
    <row r="155" spans="2:21" ht="13.5" thickBot="1">
      <c r="B155" s="145" t="str">
        <f t="shared" si="18"/>
        <v/>
      </c>
      <c r="C155" s="524">
        <f>IF(D94="","-",+C154+1)</f>
        <v>2068</v>
      </c>
      <c r="D155" s="618"/>
      <c r="E155" s="632"/>
      <c r="F155" s="527"/>
      <c r="G155" s="527"/>
      <c r="H155" s="633"/>
      <c r="I155" s="634"/>
      <c r="J155" s="531">
        <f t="shared" si="19"/>
        <v>0</v>
      </c>
      <c r="K155" s="504"/>
      <c r="L155" s="530"/>
      <c r="M155" s="531">
        <f t="shared" si="20"/>
        <v>0</v>
      </c>
      <c r="N155" s="530"/>
      <c r="O155" s="531">
        <f t="shared" si="21"/>
        <v>0</v>
      </c>
      <c r="P155" s="531">
        <f t="shared" si="22"/>
        <v>0</v>
      </c>
      <c r="Q155" s="243"/>
      <c r="R155" s="243"/>
      <c r="S155" s="243"/>
      <c r="T155" s="243"/>
      <c r="U155" s="243"/>
    </row>
    <row r="156" spans="2:21">
      <c r="C156" s="349" t="s">
        <v>75</v>
      </c>
      <c r="D156" s="294"/>
      <c r="E156" s="294">
        <f>SUM(E100:E155)</f>
        <v>433494.464379085</v>
      </c>
      <c r="F156" s="294"/>
      <c r="G156" s="294"/>
      <c r="H156" s="294">
        <f>SUM(H100:H155)</f>
        <v>2387323.3800558434</v>
      </c>
      <c r="I156" s="294">
        <f>SUM(I100:I155)</f>
        <v>2387323.3800558434</v>
      </c>
      <c r="J156" s="294">
        <f>SUM(J100:J155)</f>
        <v>0</v>
      </c>
      <c r="K156" s="294"/>
      <c r="L156" s="294"/>
      <c r="M156" s="294"/>
      <c r="N156" s="294"/>
      <c r="O156" s="294"/>
      <c r="P156" s="243"/>
      <c r="Q156" s="243"/>
      <c r="R156" s="243"/>
      <c r="S156" s="243"/>
      <c r="T156" s="243"/>
      <c r="U156" s="243"/>
    </row>
    <row r="157" spans="2:21">
      <c r="C157" s="145" t="s">
        <v>90</v>
      </c>
      <c r="D157" s="292"/>
      <c r="E157" s="243"/>
      <c r="F157" s="243"/>
      <c r="G157" s="243"/>
      <c r="H157" s="243"/>
      <c r="I157" s="325"/>
      <c r="J157" s="325"/>
      <c r="K157" s="294"/>
      <c r="L157" s="325"/>
      <c r="M157" s="325"/>
      <c r="N157" s="325"/>
      <c r="O157" s="325"/>
      <c r="P157" s="243"/>
      <c r="Q157" s="243"/>
      <c r="R157" s="243"/>
      <c r="S157" s="243"/>
      <c r="T157" s="243"/>
      <c r="U157" s="243"/>
    </row>
    <row r="158" spans="2:21">
      <c r="C158" s="574"/>
      <c r="D158" s="292"/>
      <c r="E158" s="243"/>
      <c r="F158" s="243"/>
      <c r="G158" s="243"/>
      <c r="H158" s="243"/>
      <c r="I158" s="325"/>
      <c r="J158" s="325"/>
      <c r="K158" s="294"/>
      <c r="L158" s="325"/>
      <c r="M158" s="325"/>
      <c r="N158" s="325"/>
      <c r="O158" s="325"/>
      <c r="P158" s="243"/>
      <c r="Q158" s="243"/>
      <c r="R158" s="243"/>
      <c r="S158" s="243"/>
      <c r="T158" s="243"/>
      <c r="U158" s="243"/>
    </row>
    <row r="159" spans="2:21">
      <c r="C159" s="619" t="s">
        <v>130</v>
      </c>
      <c r="D159" s="292"/>
      <c r="E159" s="243"/>
      <c r="F159" s="243"/>
      <c r="G159" s="243"/>
      <c r="H159" s="243"/>
      <c r="I159" s="325"/>
      <c r="J159" s="325"/>
      <c r="K159" s="294"/>
      <c r="L159" s="325"/>
      <c r="M159" s="325"/>
      <c r="N159" s="325"/>
      <c r="O159" s="325"/>
      <c r="P159" s="243"/>
      <c r="Q159" s="243"/>
      <c r="R159" s="243"/>
      <c r="S159" s="243"/>
      <c r="T159" s="243"/>
      <c r="U159" s="243"/>
    </row>
    <row r="160" spans="2:21">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c r="C162" s="575"/>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35" priority="1" stopIfTrue="1" operator="equal">
      <formula>$I$10</formula>
    </cfRule>
  </conditionalFormatting>
  <conditionalFormatting sqref="C100:C155">
    <cfRule type="cellIs" dxfId="34"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U163"/>
  <sheetViews>
    <sheetView view="pageBreakPreview" zoomScale="78" zoomScaleNormal="100" zoomScaleSheetLayoutView="78"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14 of 23</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8708948.961934343</v>
      </c>
      <c r="P5" s="243"/>
      <c r="R5" s="243"/>
      <c r="S5" s="243"/>
      <c r="T5" s="243"/>
      <c r="U5" s="243"/>
    </row>
    <row r="6" spans="1:21" ht="15.75">
      <c r="C6" s="235"/>
      <c r="D6" s="292"/>
      <c r="E6" s="243"/>
      <c r="F6" s="243"/>
      <c r="G6" s="243"/>
      <c r="H6" s="449"/>
      <c r="I6" s="449"/>
      <c r="J6" s="450"/>
      <c r="K6" s="451" t="s">
        <v>243</v>
      </c>
      <c r="L6" s="452"/>
      <c r="M6" s="278"/>
      <c r="N6" s="453">
        <f>VLOOKUP(I10,C17:I73,6)</f>
        <v>8708948.961934343</v>
      </c>
      <c r="O6" s="243"/>
      <c r="P6" s="243"/>
      <c r="R6" s="243"/>
      <c r="S6" s="243"/>
      <c r="T6" s="243"/>
      <c r="U6" s="243"/>
    </row>
    <row r="7" spans="1:21" ht="13.5" thickBot="1">
      <c r="C7" s="454" t="s">
        <v>46</v>
      </c>
      <c r="D7" s="637" t="s">
        <v>234</v>
      </c>
      <c r="E7" s="637"/>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C9" s="463" t="s">
        <v>48</v>
      </c>
      <c r="D9" s="464" t="s">
        <v>235</v>
      </c>
      <c r="E9" s="647" t="s">
        <v>299</v>
      </c>
      <c r="F9" s="465"/>
      <c r="G9" s="465"/>
      <c r="H9" s="465"/>
      <c r="I9" s="466"/>
      <c r="J9" s="467"/>
      <c r="O9" s="468"/>
      <c r="P9" s="278"/>
      <c r="R9" s="243"/>
      <c r="S9" s="243"/>
      <c r="T9" s="243"/>
      <c r="U9" s="243"/>
    </row>
    <row r="10" spans="1:21">
      <c r="C10" s="469" t="s">
        <v>49</v>
      </c>
      <c r="D10" s="470">
        <v>68247469</v>
      </c>
      <c r="E10" s="299" t="s">
        <v>50</v>
      </c>
      <c r="F10" s="468"/>
      <c r="G10" s="408"/>
      <c r="H10" s="408"/>
      <c r="I10" s="471">
        <f>+OKT.WS.F.BPU.ATRR.Projected!R101</f>
        <v>2022</v>
      </c>
      <c r="J10" s="467"/>
      <c r="K10" s="294" t="s">
        <v>51</v>
      </c>
      <c r="O10" s="278"/>
      <c r="P10" s="278"/>
      <c r="R10" s="243"/>
      <c r="S10" s="243"/>
      <c r="T10" s="243"/>
      <c r="U10" s="243"/>
    </row>
    <row r="11" spans="1:21">
      <c r="C11" s="472" t="s">
        <v>52</v>
      </c>
      <c r="D11" s="473">
        <v>2016</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12</v>
      </c>
      <c r="E12" s="472" t="s">
        <v>55</v>
      </c>
      <c r="F12" s="408"/>
      <c r="G12" s="220"/>
      <c r="H12" s="220"/>
      <c r="I12" s="476">
        <f>OKT.WS.F.BPU.ATRR.Projected!$F$79</f>
        <v>0.11475877389767174</v>
      </c>
      <c r="J12" s="413"/>
      <c r="K12" s="145" t="s">
        <v>56</v>
      </c>
      <c r="O12" s="278"/>
      <c r="P12" s="278"/>
      <c r="R12" s="243"/>
      <c r="S12" s="243"/>
      <c r="T12" s="243"/>
      <c r="U12" s="243"/>
    </row>
    <row r="13" spans="1:21">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2068105.1212121211</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c r="R16" s="243"/>
      <c r="S16" s="243"/>
      <c r="T16" s="243"/>
      <c r="U16" s="243"/>
    </row>
    <row r="17" spans="3:21">
      <c r="C17" s="495">
        <f>IF(D11= "","-",D11)</f>
        <v>2016</v>
      </c>
      <c r="D17" s="612">
        <v>3408237</v>
      </c>
      <c r="E17" s="620">
        <v>41312.427614067317</v>
      </c>
      <c r="F17" s="612">
        <v>3366924.5723859328</v>
      </c>
      <c r="G17" s="620">
        <v>283462.47353390156</v>
      </c>
      <c r="H17" s="617">
        <v>283462.47353390156</v>
      </c>
      <c r="I17" s="500">
        <f t="shared" ref="I17:I73" si="0">H17-G17</f>
        <v>0</v>
      </c>
      <c r="J17" s="500"/>
      <c r="K17" s="501">
        <f t="shared" ref="K17:K22" si="1">G17</f>
        <v>283462.47353390156</v>
      </c>
      <c r="L17" s="502">
        <f t="shared" ref="L17:L22" si="2">IF(K17&lt;&gt;0,+G17-K17,0)</f>
        <v>0</v>
      </c>
      <c r="M17" s="501">
        <f t="shared" ref="M17:M22" si="3">H17</f>
        <v>283462.47353390156</v>
      </c>
      <c r="N17" s="503">
        <f t="shared" ref="N17:N73" si="4">IF(M17&lt;&gt;0,+H17-M17,0)</f>
        <v>0</v>
      </c>
      <c r="O17" s="504">
        <f t="shared" ref="O17:O73" si="5">+N17-L17</f>
        <v>0</v>
      </c>
      <c r="P17" s="278"/>
      <c r="R17" s="243"/>
      <c r="S17" s="243"/>
      <c r="T17" s="243"/>
      <c r="U17" s="243"/>
    </row>
    <row r="18" spans="3:21">
      <c r="C18" s="495">
        <f>IF(D11="","-",+C17+1)</f>
        <v>2017</v>
      </c>
      <c r="D18" s="614">
        <v>69080283.572385937</v>
      </c>
      <c r="E18" s="613">
        <v>1359067.4231693465</v>
      </c>
      <c r="F18" s="614">
        <v>67721216.149216592</v>
      </c>
      <c r="G18" s="613">
        <v>8879043.9719662741</v>
      </c>
      <c r="H18" s="617">
        <v>8879043.9719662741</v>
      </c>
      <c r="I18" s="500">
        <f t="shared" si="0"/>
        <v>0</v>
      </c>
      <c r="J18" s="500"/>
      <c r="K18" s="592">
        <f t="shared" si="1"/>
        <v>8879043.9719662741</v>
      </c>
      <c r="L18" s="596">
        <f t="shared" si="2"/>
        <v>0</v>
      </c>
      <c r="M18" s="592">
        <f t="shared" si="3"/>
        <v>8879043.9719662741</v>
      </c>
      <c r="N18" s="504">
        <f>IF(M18&lt;&gt;0,+H18-M18,0)</f>
        <v>0</v>
      </c>
      <c r="O18" s="504">
        <f>+N18-L18</f>
        <v>0</v>
      </c>
      <c r="P18" s="278"/>
      <c r="R18" s="243"/>
      <c r="S18" s="243"/>
      <c r="T18" s="243"/>
      <c r="U18" s="243"/>
    </row>
    <row r="19" spans="3:21">
      <c r="C19" s="495">
        <f>IF(D11="","-",+C18+1)</f>
        <v>2018</v>
      </c>
      <c r="D19" s="614">
        <v>67721216.149216592</v>
      </c>
      <c r="E19" s="613">
        <v>1695178.2446698518</v>
      </c>
      <c r="F19" s="614">
        <v>66026037.904546738</v>
      </c>
      <c r="G19" s="613">
        <v>8491120.286725603</v>
      </c>
      <c r="H19" s="617">
        <v>8491120.286725603</v>
      </c>
      <c r="I19" s="500">
        <f t="shared" si="0"/>
        <v>0</v>
      </c>
      <c r="J19" s="500"/>
      <c r="K19" s="592">
        <f t="shared" si="1"/>
        <v>8491120.286725603</v>
      </c>
      <c r="L19" s="596">
        <f t="shared" si="2"/>
        <v>0</v>
      </c>
      <c r="M19" s="592">
        <f t="shared" si="3"/>
        <v>8491120.286725603</v>
      </c>
      <c r="N19" s="504">
        <f>IF(M19&lt;&gt;0,+H19-M19,0)</f>
        <v>0</v>
      </c>
      <c r="O19" s="504">
        <f>+N19-L19</f>
        <v>0</v>
      </c>
      <c r="P19" s="278"/>
      <c r="R19" s="243"/>
      <c r="S19" s="243"/>
      <c r="T19" s="243"/>
      <c r="U19" s="243"/>
    </row>
    <row r="20" spans="3:21">
      <c r="C20" s="495">
        <f>IF(D11="","-",+C19+1)</f>
        <v>2019</v>
      </c>
      <c r="D20" s="614">
        <v>66026037.904546738</v>
      </c>
      <c r="E20" s="613">
        <v>2050066.834779863</v>
      </c>
      <c r="F20" s="614">
        <v>63975971.069766872</v>
      </c>
      <c r="G20" s="613">
        <v>8806008.9305919912</v>
      </c>
      <c r="H20" s="617">
        <v>8806008.9305919912</v>
      </c>
      <c r="I20" s="500">
        <f t="shared" si="0"/>
        <v>0</v>
      </c>
      <c r="J20" s="500"/>
      <c r="K20" s="592">
        <f t="shared" si="1"/>
        <v>8806008.9305919912</v>
      </c>
      <c r="L20" s="596">
        <f t="shared" si="2"/>
        <v>0</v>
      </c>
      <c r="M20" s="592">
        <f t="shared" si="3"/>
        <v>8806008.9305919912</v>
      </c>
      <c r="N20" s="504">
        <f>IF(M20&lt;&gt;0,+H20-M20,0)</f>
        <v>0</v>
      </c>
      <c r="O20" s="504">
        <f>+N20-L20</f>
        <v>0</v>
      </c>
      <c r="P20" s="278"/>
      <c r="R20" s="243"/>
      <c r="S20" s="243"/>
      <c r="T20" s="243"/>
      <c r="U20" s="243"/>
    </row>
    <row r="21" spans="3:21">
      <c r="C21" s="495">
        <f>IF(D11="","-",+C20+1)</f>
        <v>2020</v>
      </c>
      <c r="D21" s="614">
        <v>63456732.659876883</v>
      </c>
      <c r="E21" s="613">
        <v>1998407.404883953</v>
      </c>
      <c r="F21" s="614">
        <v>61458325.254992932</v>
      </c>
      <c r="G21" s="613">
        <v>8552229.9584809169</v>
      </c>
      <c r="H21" s="617">
        <v>8552229.9584809169</v>
      </c>
      <c r="I21" s="500">
        <f t="shared" si="0"/>
        <v>0</v>
      </c>
      <c r="J21" s="500"/>
      <c r="K21" s="592">
        <f t="shared" si="1"/>
        <v>8552229.9584809169</v>
      </c>
      <c r="L21" s="596">
        <f t="shared" si="2"/>
        <v>0</v>
      </c>
      <c r="M21" s="592">
        <f t="shared" si="3"/>
        <v>8552229.9584809169</v>
      </c>
      <c r="N21" s="504">
        <f t="shared" si="4"/>
        <v>0</v>
      </c>
      <c r="O21" s="504">
        <f t="shared" si="5"/>
        <v>0</v>
      </c>
      <c r="P21" s="278"/>
      <c r="R21" s="243"/>
      <c r="S21" s="243"/>
      <c r="T21" s="243"/>
      <c r="U21" s="243"/>
    </row>
    <row r="22" spans="3:21">
      <c r="C22" s="495">
        <f>IF(D11="","-",+C21+1)</f>
        <v>2021</v>
      </c>
      <c r="D22" s="614">
        <v>61103436.664882921</v>
      </c>
      <c r="E22" s="613">
        <v>2201531.2580645164</v>
      </c>
      <c r="F22" s="614">
        <v>58901905.406818405</v>
      </c>
      <c r="G22" s="613">
        <v>8692924.255398104</v>
      </c>
      <c r="H22" s="617">
        <v>8692924.255398104</v>
      </c>
      <c r="I22" s="500">
        <f t="shared" si="0"/>
        <v>0</v>
      </c>
      <c r="J22" s="500"/>
      <c r="K22" s="592">
        <f t="shared" si="1"/>
        <v>8692924.255398104</v>
      </c>
      <c r="L22" s="596">
        <f t="shared" si="2"/>
        <v>0</v>
      </c>
      <c r="M22" s="592">
        <f t="shared" si="3"/>
        <v>8692924.255398104</v>
      </c>
      <c r="N22" s="504">
        <f t="shared" si="4"/>
        <v>0</v>
      </c>
      <c r="O22" s="504">
        <f t="shared" si="5"/>
        <v>0</v>
      </c>
      <c r="P22" s="278"/>
      <c r="R22" s="243"/>
      <c r="S22" s="243"/>
      <c r="T22" s="243"/>
      <c r="U22" s="243"/>
    </row>
    <row r="23" spans="3:21">
      <c r="C23" s="495">
        <f>IF(D11="","-",+C22+1)</f>
        <v>2022</v>
      </c>
      <c r="D23" s="510">
        <f>IF(F22+SUM(E$17:E22)=D$10,F22,D$10-SUM(E$17:E22))</f>
        <v>58901905.406818405</v>
      </c>
      <c r="E23" s="509">
        <f>IF(+I14&lt;F22,I14,D23)</f>
        <v>2068105.1212121211</v>
      </c>
      <c r="F23" s="510">
        <f t="shared" ref="F23:F73" si="6">+D23-E23</f>
        <v>56833800.28560628</v>
      </c>
      <c r="G23" s="511">
        <f t="shared" ref="G23:G73" si="7">(D23+F23)/2*I$12+E23</f>
        <v>8708948.961934343</v>
      </c>
      <c r="H23" s="477">
        <f t="shared" ref="H23:H73" si="8">+(D23+F23)/2*I$13+E23</f>
        <v>8708948.961934343</v>
      </c>
      <c r="I23" s="500">
        <f t="shared" si="0"/>
        <v>0</v>
      </c>
      <c r="J23" s="500"/>
      <c r="K23" s="512"/>
      <c r="L23" s="504">
        <f t="shared" ref="L23:L73" si="9">IF(K23&lt;&gt;0,+G23-K23,0)</f>
        <v>0</v>
      </c>
      <c r="M23" s="512"/>
      <c r="N23" s="504">
        <f t="shared" si="4"/>
        <v>0</v>
      </c>
      <c r="O23" s="504">
        <f t="shared" si="5"/>
        <v>0</v>
      </c>
      <c r="P23" s="278"/>
      <c r="R23" s="243"/>
      <c r="S23" s="243"/>
      <c r="T23" s="243"/>
      <c r="U23" s="243"/>
    </row>
    <row r="24" spans="3:21">
      <c r="C24" s="495">
        <f>IF(D11="","-",+C23+1)</f>
        <v>2023</v>
      </c>
      <c r="D24" s="510">
        <f>IF(F23+SUM(E$17:E23)=D$10,F23,D$10-SUM(E$17:E23))</f>
        <v>56833800.28560628</v>
      </c>
      <c r="E24" s="509">
        <f>IF(+I14&lt;F23,I14,D24)</f>
        <v>2068105.1212121211</v>
      </c>
      <c r="F24" s="510">
        <f t="shared" si="6"/>
        <v>54765695.164394155</v>
      </c>
      <c r="G24" s="511">
        <f t="shared" si="7"/>
        <v>8471615.7539325431</v>
      </c>
      <c r="H24" s="477">
        <f t="shared" si="8"/>
        <v>8471615.7539325431</v>
      </c>
      <c r="I24" s="500">
        <f t="shared" si="0"/>
        <v>0</v>
      </c>
      <c r="J24" s="500"/>
      <c r="K24" s="512"/>
      <c r="L24" s="504">
        <f t="shared" si="9"/>
        <v>0</v>
      </c>
      <c r="M24" s="512"/>
      <c r="N24" s="504">
        <f t="shared" si="4"/>
        <v>0</v>
      </c>
      <c r="O24" s="504">
        <f t="shared" si="5"/>
        <v>0</v>
      </c>
      <c r="P24" s="278"/>
      <c r="R24" s="243"/>
      <c r="S24" s="243"/>
      <c r="T24" s="243"/>
      <c r="U24" s="243"/>
    </row>
    <row r="25" spans="3:21">
      <c r="C25" s="495">
        <f>IF(D11="","-",+C24+1)</f>
        <v>2024</v>
      </c>
      <c r="D25" s="510">
        <f>IF(F24+SUM(E$17:E24)=D$10,F24,D$10-SUM(E$17:E24))</f>
        <v>54765695.164394155</v>
      </c>
      <c r="E25" s="509">
        <f>IF(+I14&lt;F24,I14,D25)</f>
        <v>2068105.1212121211</v>
      </c>
      <c r="F25" s="510">
        <f t="shared" si="6"/>
        <v>52697590.04318203</v>
      </c>
      <c r="G25" s="511">
        <f t="shared" si="7"/>
        <v>8234282.5459307451</v>
      </c>
      <c r="H25" s="477">
        <f t="shared" si="8"/>
        <v>8234282.5459307451</v>
      </c>
      <c r="I25" s="500">
        <f t="shared" si="0"/>
        <v>0</v>
      </c>
      <c r="J25" s="500"/>
      <c r="K25" s="512"/>
      <c r="L25" s="504">
        <f t="shared" si="9"/>
        <v>0</v>
      </c>
      <c r="M25" s="512"/>
      <c r="N25" s="504">
        <f t="shared" si="4"/>
        <v>0</v>
      </c>
      <c r="O25" s="504">
        <f t="shared" si="5"/>
        <v>0</v>
      </c>
      <c r="P25" s="278"/>
      <c r="R25" s="243"/>
      <c r="S25" s="243"/>
      <c r="T25" s="243"/>
      <c r="U25" s="243"/>
    </row>
    <row r="26" spans="3:21">
      <c r="C26" s="495">
        <f>IF(D11="","-",+C25+1)</f>
        <v>2025</v>
      </c>
      <c r="D26" s="510">
        <f>IF(F25+SUM(E$17:E25)=D$10,F25,D$10-SUM(E$17:E25))</f>
        <v>52697590.04318203</v>
      </c>
      <c r="E26" s="509">
        <f>IF(+I14&lt;F25,I14,D26)</f>
        <v>2068105.1212121211</v>
      </c>
      <c r="F26" s="510">
        <f t="shared" si="6"/>
        <v>50629484.921969905</v>
      </c>
      <c r="G26" s="511">
        <f t="shared" si="7"/>
        <v>7996949.3379289452</v>
      </c>
      <c r="H26" s="477">
        <f t="shared" si="8"/>
        <v>7996949.3379289452</v>
      </c>
      <c r="I26" s="500">
        <f t="shared" si="0"/>
        <v>0</v>
      </c>
      <c r="J26" s="500"/>
      <c r="K26" s="512"/>
      <c r="L26" s="504">
        <f t="shared" si="9"/>
        <v>0</v>
      </c>
      <c r="M26" s="512"/>
      <c r="N26" s="504">
        <f t="shared" si="4"/>
        <v>0</v>
      </c>
      <c r="O26" s="504">
        <f t="shared" si="5"/>
        <v>0</v>
      </c>
      <c r="P26" s="278"/>
      <c r="R26" s="243"/>
      <c r="S26" s="243"/>
      <c r="T26" s="243"/>
      <c r="U26" s="243"/>
    </row>
    <row r="27" spans="3:21">
      <c r="C27" s="495">
        <f>IF(D11="","-",+C26+1)</f>
        <v>2026</v>
      </c>
      <c r="D27" s="508">
        <f>IF(F26+SUM(E$17:E26)=D$10,F26,D$10-SUM(E$17:E26))</f>
        <v>50629484.921969905</v>
      </c>
      <c r="E27" s="509">
        <f>IF(+I14&lt;F26,I14,D27)</f>
        <v>2068105.1212121211</v>
      </c>
      <c r="F27" s="510">
        <f t="shared" si="6"/>
        <v>48561379.800757781</v>
      </c>
      <c r="G27" s="511">
        <f t="shared" si="7"/>
        <v>7759616.1299271462</v>
      </c>
      <c r="H27" s="477">
        <f t="shared" si="8"/>
        <v>7759616.1299271462</v>
      </c>
      <c r="I27" s="500">
        <f t="shared" si="0"/>
        <v>0</v>
      </c>
      <c r="J27" s="500"/>
      <c r="K27" s="512"/>
      <c r="L27" s="504">
        <f t="shared" si="9"/>
        <v>0</v>
      </c>
      <c r="M27" s="512"/>
      <c r="N27" s="504">
        <f t="shared" si="4"/>
        <v>0</v>
      </c>
      <c r="O27" s="504">
        <f t="shared" si="5"/>
        <v>0</v>
      </c>
      <c r="P27" s="278"/>
      <c r="R27" s="243"/>
      <c r="S27" s="243"/>
      <c r="T27" s="243"/>
      <c r="U27" s="243"/>
    </row>
    <row r="28" spans="3:21">
      <c r="C28" s="495">
        <f>IF(D11="","-",+C27+1)</f>
        <v>2027</v>
      </c>
      <c r="D28" s="510">
        <f>IF(F27+SUM(E$17:E27)=D$10,F27,D$10-SUM(E$17:E27))</f>
        <v>48561379.800757781</v>
      </c>
      <c r="E28" s="509">
        <f>IF(+I14&lt;F27,I14,D28)</f>
        <v>2068105.1212121211</v>
      </c>
      <c r="F28" s="510">
        <f t="shared" si="6"/>
        <v>46493274.679545656</v>
      </c>
      <c r="G28" s="511">
        <f t="shared" si="7"/>
        <v>7522282.9219253473</v>
      </c>
      <c r="H28" s="477">
        <f t="shared" si="8"/>
        <v>7522282.9219253473</v>
      </c>
      <c r="I28" s="500">
        <f t="shared" si="0"/>
        <v>0</v>
      </c>
      <c r="J28" s="500"/>
      <c r="K28" s="512"/>
      <c r="L28" s="504">
        <f t="shared" si="9"/>
        <v>0</v>
      </c>
      <c r="M28" s="512"/>
      <c r="N28" s="504">
        <f t="shared" si="4"/>
        <v>0</v>
      </c>
      <c r="O28" s="504">
        <f t="shared" si="5"/>
        <v>0</v>
      </c>
      <c r="P28" s="278"/>
      <c r="R28" s="243"/>
      <c r="S28" s="243"/>
      <c r="T28" s="243"/>
      <c r="U28" s="243"/>
    </row>
    <row r="29" spans="3:21">
      <c r="C29" s="495">
        <f>IF(D11="","-",+C28+1)</f>
        <v>2028</v>
      </c>
      <c r="D29" s="510">
        <f>IF(F28+SUM(E$17:E28)=D$10,F28,D$10-SUM(E$17:E28))</f>
        <v>46493274.679545656</v>
      </c>
      <c r="E29" s="509">
        <f>IF(+I14&lt;F28,I14,D29)</f>
        <v>2068105.1212121211</v>
      </c>
      <c r="F29" s="510">
        <f t="shared" si="6"/>
        <v>44425169.558333531</v>
      </c>
      <c r="G29" s="511">
        <f t="shared" si="7"/>
        <v>7284949.7139235474</v>
      </c>
      <c r="H29" s="477">
        <f t="shared" si="8"/>
        <v>7284949.7139235474</v>
      </c>
      <c r="I29" s="500">
        <f t="shared" si="0"/>
        <v>0</v>
      </c>
      <c r="J29" s="500"/>
      <c r="K29" s="512"/>
      <c r="L29" s="504">
        <f t="shared" si="9"/>
        <v>0</v>
      </c>
      <c r="M29" s="512"/>
      <c r="N29" s="504">
        <f t="shared" si="4"/>
        <v>0</v>
      </c>
      <c r="O29" s="504">
        <f t="shared" si="5"/>
        <v>0</v>
      </c>
      <c r="P29" s="278"/>
      <c r="R29" s="243"/>
      <c r="S29" s="243"/>
      <c r="T29" s="243"/>
      <c r="U29" s="243"/>
    </row>
    <row r="30" spans="3:21">
      <c r="C30" s="495">
        <f>IF(D11="","-",+C29+1)</f>
        <v>2029</v>
      </c>
      <c r="D30" s="510">
        <f>IF(F29+SUM(E$17:E29)=D$10,F29,D$10-SUM(E$17:E29))</f>
        <v>44425169.558333531</v>
      </c>
      <c r="E30" s="509">
        <f>IF(+I14&lt;F29,I14,D30)</f>
        <v>2068105.1212121211</v>
      </c>
      <c r="F30" s="510">
        <f t="shared" si="6"/>
        <v>42357064.437121406</v>
      </c>
      <c r="G30" s="511">
        <f t="shared" si="7"/>
        <v>7047616.5059217485</v>
      </c>
      <c r="H30" s="477">
        <f t="shared" si="8"/>
        <v>7047616.5059217485</v>
      </c>
      <c r="I30" s="500">
        <f t="shared" si="0"/>
        <v>0</v>
      </c>
      <c r="J30" s="500"/>
      <c r="K30" s="512"/>
      <c r="L30" s="504">
        <f t="shared" si="9"/>
        <v>0</v>
      </c>
      <c r="M30" s="512"/>
      <c r="N30" s="504">
        <f t="shared" si="4"/>
        <v>0</v>
      </c>
      <c r="O30" s="504">
        <f t="shared" si="5"/>
        <v>0</v>
      </c>
      <c r="P30" s="278"/>
      <c r="R30" s="243"/>
      <c r="S30" s="243"/>
      <c r="T30" s="243"/>
      <c r="U30" s="243"/>
    </row>
    <row r="31" spans="3:21">
      <c r="C31" s="495">
        <f>IF(D11="","-",+C30+1)</f>
        <v>2030</v>
      </c>
      <c r="D31" s="510">
        <f>IF(F30+SUM(E$17:E30)=D$10,F30,D$10-SUM(E$17:E30))</f>
        <v>42357064.437121406</v>
      </c>
      <c r="E31" s="509">
        <f>IF(+I14&lt;F30,I14,D31)</f>
        <v>2068105.1212121211</v>
      </c>
      <c r="F31" s="510">
        <f t="shared" si="6"/>
        <v>40288959.315909281</v>
      </c>
      <c r="G31" s="511">
        <f t="shared" si="7"/>
        <v>6810283.2979199495</v>
      </c>
      <c r="H31" s="477">
        <f t="shared" si="8"/>
        <v>6810283.2979199495</v>
      </c>
      <c r="I31" s="500">
        <f t="shared" si="0"/>
        <v>0</v>
      </c>
      <c r="J31" s="500"/>
      <c r="K31" s="512"/>
      <c r="L31" s="504">
        <f t="shared" si="9"/>
        <v>0</v>
      </c>
      <c r="M31" s="512"/>
      <c r="N31" s="504">
        <f t="shared" si="4"/>
        <v>0</v>
      </c>
      <c r="O31" s="504">
        <f t="shared" si="5"/>
        <v>0</v>
      </c>
      <c r="P31" s="278"/>
      <c r="Q31" s="220"/>
      <c r="R31" s="278"/>
      <c r="S31" s="278"/>
      <c r="T31" s="278"/>
      <c r="U31" s="243"/>
    </row>
    <row r="32" spans="3:21">
      <c r="C32" s="495">
        <f>IF(D12="","-",+C31+1)</f>
        <v>2031</v>
      </c>
      <c r="D32" s="510">
        <f>IF(F31+SUM(E$17:E31)=D$10,F31,D$10-SUM(E$17:E31))</f>
        <v>40288959.315909281</v>
      </c>
      <c r="E32" s="509">
        <f>IF(+I14&lt;F31,I14,D32)</f>
        <v>2068105.1212121211</v>
      </c>
      <c r="F32" s="510">
        <f>+D32-E32</f>
        <v>38220854.194697157</v>
      </c>
      <c r="G32" s="511">
        <f t="shared" si="7"/>
        <v>6572950.0899181496</v>
      </c>
      <c r="H32" s="477">
        <f t="shared" si="8"/>
        <v>6572950.0899181496</v>
      </c>
      <c r="I32" s="500">
        <f>H32-G32</f>
        <v>0</v>
      </c>
      <c r="J32" s="500"/>
      <c r="K32" s="512"/>
      <c r="L32" s="504">
        <f>IF(K32&lt;&gt;0,+G32-K32,0)</f>
        <v>0</v>
      </c>
      <c r="M32" s="512"/>
      <c r="N32" s="504">
        <f>IF(M32&lt;&gt;0,+H32-M32,0)</f>
        <v>0</v>
      </c>
      <c r="O32" s="504">
        <f>+N32-L32</f>
        <v>0</v>
      </c>
      <c r="P32" s="278"/>
      <c r="Q32" s="220"/>
      <c r="R32" s="278"/>
      <c r="S32" s="278"/>
      <c r="T32" s="278"/>
      <c r="U32" s="243"/>
    </row>
    <row r="33" spans="3:21">
      <c r="C33" s="495">
        <f>IF(D13="","-",+C32+1)</f>
        <v>2032</v>
      </c>
      <c r="D33" s="510">
        <f>IF(F32+SUM(E$17:E32)=D$10,F32,D$10-SUM(E$17:E32))</f>
        <v>38220854.194697157</v>
      </c>
      <c r="E33" s="509">
        <f>IF(+I14&lt;F32,I14,D33)</f>
        <v>2068105.1212121211</v>
      </c>
      <c r="F33" s="510">
        <f>+D33-E33</f>
        <v>36152749.073485032</v>
      </c>
      <c r="G33" s="511">
        <f t="shared" si="7"/>
        <v>6335616.8819163507</v>
      </c>
      <c r="H33" s="477">
        <f t="shared" si="8"/>
        <v>6335616.8819163507</v>
      </c>
      <c r="I33" s="500">
        <f>H33-G33</f>
        <v>0</v>
      </c>
      <c r="J33" s="500"/>
      <c r="K33" s="512"/>
      <c r="L33" s="504">
        <f>IF(K33&lt;&gt;0,+G33-K33,0)</f>
        <v>0</v>
      </c>
      <c r="M33" s="512"/>
      <c r="N33" s="504">
        <f>IF(M33&lt;&gt;0,+H33-M33,0)</f>
        <v>0</v>
      </c>
      <c r="O33" s="504">
        <f>+N33-L33</f>
        <v>0</v>
      </c>
      <c r="P33" s="278"/>
      <c r="R33" s="243"/>
      <c r="S33" s="243"/>
      <c r="T33" s="243"/>
      <c r="U33" s="243"/>
    </row>
    <row r="34" spans="3:21">
      <c r="C34" s="513">
        <f>IF(D11="","-",+C33+1)</f>
        <v>2033</v>
      </c>
      <c r="D34" s="516">
        <f>IF(F33+SUM(E$17:E33)=D$10,F33,D$10-SUM(E$17:E33))</f>
        <v>36152749.073485032</v>
      </c>
      <c r="E34" s="515">
        <f>IF(+I14&lt;F33,I14,D34)</f>
        <v>2068105.1212121211</v>
      </c>
      <c r="F34" s="516">
        <f t="shared" si="6"/>
        <v>34084643.952272907</v>
      </c>
      <c r="G34" s="511">
        <f t="shared" si="7"/>
        <v>6098283.6739145517</v>
      </c>
      <c r="H34" s="477">
        <f t="shared" si="8"/>
        <v>6098283.6739145517</v>
      </c>
      <c r="I34" s="519">
        <f t="shared" si="0"/>
        <v>0</v>
      </c>
      <c r="J34" s="519"/>
      <c r="K34" s="520"/>
      <c r="L34" s="521">
        <f t="shared" si="9"/>
        <v>0</v>
      </c>
      <c r="M34" s="520"/>
      <c r="N34" s="521">
        <f t="shared" si="4"/>
        <v>0</v>
      </c>
      <c r="O34" s="521">
        <f t="shared" si="5"/>
        <v>0</v>
      </c>
      <c r="P34" s="522"/>
      <c r="Q34" s="216"/>
      <c r="R34" s="522"/>
      <c r="S34" s="522"/>
      <c r="T34" s="522"/>
      <c r="U34" s="243"/>
    </row>
    <row r="35" spans="3:21">
      <c r="C35" s="495">
        <f>IF(D11="","-",+C34+1)</f>
        <v>2034</v>
      </c>
      <c r="D35" s="510">
        <f>IF(F34+SUM(E$17:E34)=D$10,F34,D$10-SUM(E$17:E34))</f>
        <v>34084643.952272907</v>
      </c>
      <c r="E35" s="509">
        <f>IF(+I14&lt;F34,I14,D35)</f>
        <v>2068105.1212121211</v>
      </c>
      <c r="F35" s="510">
        <f t="shared" si="6"/>
        <v>32016538.831060786</v>
      </c>
      <c r="G35" s="511">
        <f t="shared" si="7"/>
        <v>5860950.4659127519</v>
      </c>
      <c r="H35" s="477">
        <f t="shared" si="8"/>
        <v>5860950.4659127519</v>
      </c>
      <c r="I35" s="500">
        <f t="shared" si="0"/>
        <v>0</v>
      </c>
      <c r="J35" s="500"/>
      <c r="K35" s="512"/>
      <c r="L35" s="504">
        <f t="shared" si="9"/>
        <v>0</v>
      </c>
      <c r="M35" s="512"/>
      <c r="N35" s="504">
        <f t="shared" si="4"/>
        <v>0</v>
      </c>
      <c r="O35" s="504">
        <f t="shared" si="5"/>
        <v>0</v>
      </c>
      <c r="P35" s="278"/>
      <c r="R35" s="243"/>
      <c r="S35" s="243"/>
      <c r="T35" s="243"/>
      <c r="U35" s="243"/>
    </row>
    <row r="36" spans="3:21">
      <c r="C36" s="495">
        <f>IF(D11="","-",+C35+1)</f>
        <v>2035</v>
      </c>
      <c r="D36" s="510">
        <f>IF(F35+SUM(E$17:E35)=D$10,F35,D$10-SUM(E$17:E35))</f>
        <v>32016538.831060786</v>
      </c>
      <c r="E36" s="509">
        <f>IF(+I14&lt;F35,I14,D36)</f>
        <v>2068105.1212121211</v>
      </c>
      <c r="F36" s="510">
        <f t="shared" si="6"/>
        <v>29948433.709848665</v>
      </c>
      <c r="G36" s="511">
        <f t="shared" si="7"/>
        <v>5623617.2579109538</v>
      </c>
      <c r="H36" s="477">
        <f t="shared" si="8"/>
        <v>5623617.2579109538</v>
      </c>
      <c r="I36" s="500">
        <f t="shared" si="0"/>
        <v>0</v>
      </c>
      <c r="J36" s="500"/>
      <c r="K36" s="512"/>
      <c r="L36" s="504">
        <f t="shared" si="9"/>
        <v>0</v>
      </c>
      <c r="M36" s="512"/>
      <c r="N36" s="504">
        <f t="shared" si="4"/>
        <v>0</v>
      </c>
      <c r="O36" s="504">
        <f t="shared" si="5"/>
        <v>0</v>
      </c>
      <c r="P36" s="278"/>
      <c r="R36" s="243"/>
      <c r="S36" s="243"/>
      <c r="T36" s="243"/>
      <c r="U36" s="243"/>
    </row>
    <row r="37" spans="3:21">
      <c r="C37" s="495">
        <f>IF(D11="","-",+C36+1)</f>
        <v>2036</v>
      </c>
      <c r="D37" s="510">
        <f>IF(F36+SUM(E$17:E36)=D$10,F36,D$10-SUM(E$17:E36))</f>
        <v>29948433.709848665</v>
      </c>
      <c r="E37" s="509">
        <f>IF(+I14&lt;F36,I14,D37)</f>
        <v>2068105.1212121211</v>
      </c>
      <c r="F37" s="510">
        <f t="shared" si="6"/>
        <v>27880328.588636544</v>
      </c>
      <c r="G37" s="511">
        <f t="shared" si="7"/>
        <v>5386284.0499091549</v>
      </c>
      <c r="H37" s="477">
        <f t="shared" si="8"/>
        <v>5386284.0499091549</v>
      </c>
      <c r="I37" s="500">
        <f t="shared" si="0"/>
        <v>0</v>
      </c>
      <c r="J37" s="500"/>
      <c r="K37" s="512"/>
      <c r="L37" s="504">
        <f t="shared" si="9"/>
        <v>0</v>
      </c>
      <c r="M37" s="512"/>
      <c r="N37" s="504">
        <f t="shared" si="4"/>
        <v>0</v>
      </c>
      <c r="O37" s="504">
        <f t="shared" si="5"/>
        <v>0</v>
      </c>
      <c r="P37" s="278"/>
      <c r="R37" s="243"/>
      <c r="S37" s="243"/>
      <c r="T37" s="243"/>
      <c r="U37" s="243"/>
    </row>
    <row r="38" spans="3:21">
      <c r="C38" s="495">
        <f>IF(D11="","-",+C37+1)</f>
        <v>2037</v>
      </c>
      <c r="D38" s="510">
        <f>IF(F37+SUM(E$17:E37)=D$10,F37,D$10-SUM(E$17:E37))</f>
        <v>27880328.588636544</v>
      </c>
      <c r="E38" s="509">
        <f>IF(+I14&lt;F37,I14,D38)</f>
        <v>2068105.1212121211</v>
      </c>
      <c r="F38" s="510">
        <f t="shared" si="6"/>
        <v>25812223.467424423</v>
      </c>
      <c r="G38" s="511">
        <f t="shared" si="7"/>
        <v>5148950.8419073559</v>
      </c>
      <c r="H38" s="477">
        <f t="shared" si="8"/>
        <v>5148950.8419073559</v>
      </c>
      <c r="I38" s="500">
        <f t="shared" si="0"/>
        <v>0</v>
      </c>
      <c r="J38" s="500"/>
      <c r="K38" s="512"/>
      <c r="L38" s="504">
        <f t="shared" si="9"/>
        <v>0</v>
      </c>
      <c r="M38" s="512"/>
      <c r="N38" s="504">
        <f t="shared" si="4"/>
        <v>0</v>
      </c>
      <c r="O38" s="504">
        <f t="shared" si="5"/>
        <v>0</v>
      </c>
      <c r="P38" s="278"/>
      <c r="R38" s="243"/>
      <c r="S38" s="243"/>
      <c r="T38" s="243"/>
      <c r="U38" s="243"/>
    </row>
    <row r="39" spans="3:21">
      <c r="C39" s="495">
        <f>IF(D11="","-",+C38+1)</f>
        <v>2038</v>
      </c>
      <c r="D39" s="510">
        <f>IF(F38+SUM(E$17:E38)=D$10,F38,D$10-SUM(E$17:E38))</f>
        <v>25812223.467424423</v>
      </c>
      <c r="E39" s="509">
        <f>IF(+I14&lt;F38,I14,D39)</f>
        <v>2068105.1212121211</v>
      </c>
      <c r="F39" s="510">
        <f t="shared" si="6"/>
        <v>23744118.346212301</v>
      </c>
      <c r="G39" s="511">
        <f t="shared" si="7"/>
        <v>4911617.633905557</v>
      </c>
      <c r="H39" s="477">
        <f t="shared" si="8"/>
        <v>4911617.633905557</v>
      </c>
      <c r="I39" s="500">
        <f t="shared" si="0"/>
        <v>0</v>
      </c>
      <c r="J39" s="500"/>
      <c r="K39" s="512"/>
      <c r="L39" s="504">
        <f t="shared" si="9"/>
        <v>0</v>
      </c>
      <c r="M39" s="512"/>
      <c r="N39" s="504">
        <f t="shared" si="4"/>
        <v>0</v>
      </c>
      <c r="O39" s="504">
        <f t="shared" si="5"/>
        <v>0</v>
      </c>
      <c r="P39" s="278"/>
      <c r="R39" s="243"/>
      <c r="S39" s="243"/>
      <c r="T39" s="243"/>
      <c r="U39" s="243"/>
    </row>
    <row r="40" spans="3:21">
      <c r="C40" s="495">
        <f>IF(D11="","-",+C39+1)</f>
        <v>2039</v>
      </c>
      <c r="D40" s="510">
        <f>IF(F39+SUM(E$17:E39)=D$10,F39,D$10-SUM(E$17:E39))</f>
        <v>23744118.346212301</v>
      </c>
      <c r="E40" s="509">
        <f>IF(+I14&lt;F39,I14,D40)</f>
        <v>2068105.1212121211</v>
      </c>
      <c r="F40" s="510">
        <f t="shared" si="6"/>
        <v>21676013.22500018</v>
      </c>
      <c r="G40" s="511">
        <f t="shared" si="7"/>
        <v>4674284.425903759</v>
      </c>
      <c r="H40" s="477">
        <f t="shared" si="8"/>
        <v>4674284.425903759</v>
      </c>
      <c r="I40" s="500">
        <f t="shared" si="0"/>
        <v>0</v>
      </c>
      <c r="J40" s="500"/>
      <c r="K40" s="512"/>
      <c r="L40" s="504">
        <f t="shared" si="9"/>
        <v>0</v>
      </c>
      <c r="M40" s="512"/>
      <c r="N40" s="504">
        <f t="shared" si="4"/>
        <v>0</v>
      </c>
      <c r="O40" s="504">
        <f t="shared" si="5"/>
        <v>0</v>
      </c>
      <c r="P40" s="278"/>
      <c r="R40" s="243"/>
      <c r="S40" s="243"/>
      <c r="T40" s="243"/>
      <c r="U40" s="243"/>
    </row>
    <row r="41" spans="3:21">
      <c r="C41" s="495">
        <f>IF(D12="","-",+C40+1)</f>
        <v>2040</v>
      </c>
      <c r="D41" s="510">
        <f>IF(F40+SUM(E$17:E40)=D$10,F40,D$10-SUM(E$17:E40))</f>
        <v>21676013.22500018</v>
      </c>
      <c r="E41" s="509">
        <f>IF(+I14&lt;F40,I14,D41)</f>
        <v>2068105.1212121211</v>
      </c>
      <c r="F41" s="510">
        <f t="shared" si="6"/>
        <v>19607908.103788059</v>
      </c>
      <c r="G41" s="511">
        <f t="shared" si="7"/>
        <v>4436951.21790196</v>
      </c>
      <c r="H41" s="477">
        <f t="shared" si="8"/>
        <v>4436951.21790196</v>
      </c>
      <c r="I41" s="500">
        <f t="shared" si="0"/>
        <v>0</v>
      </c>
      <c r="J41" s="500"/>
      <c r="K41" s="512"/>
      <c r="L41" s="504">
        <f t="shared" si="9"/>
        <v>0</v>
      </c>
      <c r="M41" s="512"/>
      <c r="N41" s="504">
        <f t="shared" si="4"/>
        <v>0</v>
      </c>
      <c r="O41" s="504">
        <f t="shared" si="5"/>
        <v>0</v>
      </c>
      <c r="P41" s="278"/>
      <c r="R41" s="243"/>
      <c r="S41" s="243"/>
      <c r="T41" s="243"/>
      <c r="U41" s="243"/>
    </row>
    <row r="42" spans="3:21">
      <c r="C42" s="495">
        <f>IF(D13="","-",+C41+1)</f>
        <v>2041</v>
      </c>
      <c r="D42" s="510">
        <f>IF(F41+SUM(E$17:E41)=D$10,F41,D$10-SUM(E$17:E41))</f>
        <v>19607908.103788059</v>
      </c>
      <c r="E42" s="509">
        <f>IF(+I14&lt;F41,I14,D42)</f>
        <v>2068105.1212121211</v>
      </c>
      <c r="F42" s="510">
        <f t="shared" si="6"/>
        <v>17539802.982575938</v>
      </c>
      <c r="G42" s="511">
        <f t="shared" si="7"/>
        <v>4199618.0099001611</v>
      </c>
      <c r="H42" s="477">
        <f t="shared" si="8"/>
        <v>4199618.0099001611</v>
      </c>
      <c r="I42" s="500">
        <f t="shared" si="0"/>
        <v>0</v>
      </c>
      <c r="J42" s="500"/>
      <c r="K42" s="512"/>
      <c r="L42" s="504">
        <f t="shared" si="9"/>
        <v>0</v>
      </c>
      <c r="M42" s="512"/>
      <c r="N42" s="504">
        <f t="shared" si="4"/>
        <v>0</v>
      </c>
      <c r="O42" s="504">
        <f t="shared" si="5"/>
        <v>0</v>
      </c>
      <c r="P42" s="278"/>
      <c r="R42" s="243"/>
      <c r="S42" s="243"/>
      <c r="T42" s="243"/>
      <c r="U42" s="243"/>
    </row>
    <row r="43" spans="3:21">
      <c r="C43" s="495">
        <f>IF(D14="","-",+C42+1)</f>
        <v>2042</v>
      </c>
      <c r="D43" s="510">
        <f>IF(F42+SUM(E$17:E42)=D$10,F42,D$10-SUM(E$17:E42))</f>
        <v>17539802.982575938</v>
      </c>
      <c r="E43" s="509">
        <f>IF(+I14&lt;F42,I14,D43)</f>
        <v>2068105.1212121211</v>
      </c>
      <c r="F43" s="510">
        <f t="shared" si="6"/>
        <v>15471697.861363817</v>
      </c>
      <c r="G43" s="511">
        <f t="shared" si="7"/>
        <v>3962284.8018983621</v>
      </c>
      <c r="H43" s="477">
        <f t="shared" si="8"/>
        <v>3962284.8018983621</v>
      </c>
      <c r="I43" s="500">
        <f t="shared" si="0"/>
        <v>0</v>
      </c>
      <c r="J43" s="500"/>
      <c r="K43" s="512"/>
      <c r="L43" s="504">
        <f t="shared" si="9"/>
        <v>0</v>
      </c>
      <c r="M43" s="512"/>
      <c r="N43" s="504">
        <f t="shared" si="4"/>
        <v>0</v>
      </c>
      <c r="O43" s="504">
        <f t="shared" si="5"/>
        <v>0</v>
      </c>
      <c r="P43" s="278"/>
      <c r="R43" s="243"/>
      <c r="S43" s="243"/>
      <c r="T43" s="243"/>
      <c r="U43" s="243"/>
    </row>
    <row r="44" spans="3:21">
      <c r="C44" s="495">
        <f>IF(D11="","-",+C43+1)</f>
        <v>2043</v>
      </c>
      <c r="D44" s="510">
        <f>IF(F43+SUM(E$17:E43)=D$10,F43,D$10-SUM(E$17:E43))</f>
        <v>15471697.861363817</v>
      </c>
      <c r="E44" s="509">
        <f>IF(+I14&lt;F43,I14,D44)</f>
        <v>2068105.1212121211</v>
      </c>
      <c r="F44" s="510">
        <f t="shared" si="6"/>
        <v>13403592.740151696</v>
      </c>
      <c r="G44" s="511">
        <f t="shared" si="7"/>
        <v>3724951.5938965632</v>
      </c>
      <c r="H44" s="477">
        <f t="shared" si="8"/>
        <v>3724951.5938965632</v>
      </c>
      <c r="I44" s="500">
        <f t="shared" si="0"/>
        <v>0</v>
      </c>
      <c r="J44" s="500"/>
      <c r="K44" s="512"/>
      <c r="L44" s="504">
        <f t="shared" si="9"/>
        <v>0</v>
      </c>
      <c r="M44" s="512"/>
      <c r="N44" s="504">
        <f t="shared" si="4"/>
        <v>0</v>
      </c>
      <c r="O44" s="504">
        <f t="shared" si="5"/>
        <v>0</v>
      </c>
      <c r="P44" s="278"/>
      <c r="R44" s="243"/>
      <c r="S44" s="243"/>
      <c r="T44" s="243"/>
      <c r="U44" s="243"/>
    </row>
    <row r="45" spans="3:21">
      <c r="C45" s="495">
        <f>IF(D11="","-",+C44+1)</f>
        <v>2044</v>
      </c>
      <c r="D45" s="510">
        <f>IF(F44+SUM(E$17:E44)=D$10,F44,D$10-SUM(E$17:E44))</f>
        <v>13403592.740151696</v>
      </c>
      <c r="E45" s="509">
        <f>IF(+I14&lt;F44,I14,D45)</f>
        <v>2068105.1212121211</v>
      </c>
      <c r="F45" s="510">
        <f t="shared" si="6"/>
        <v>11335487.618939575</v>
      </c>
      <c r="G45" s="511">
        <f t="shared" si="7"/>
        <v>3487618.3858947642</v>
      </c>
      <c r="H45" s="477">
        <f t="shared" si="8"/>
        <v>3487618.3858947642</v>
      </c>
      <c r="I45" s="500">
        <f t="shared" si="0"/>
        <v>0</v>
      </c>
      <c r="J45" s="500"/>
      <c r="K45" s="512"/>
      <c r="L45" s="504">
        <f t="shared" si="9"/>
        <v>0</v>
      </c>
      <c r="M45" s="512"/>
      <c r="N45" s="504">
        <f t="shared" si="4"/>
        <v>0</v>
      </c>
      <c r="O45" s="504">
        <f t="shared" si="5"/>
        <v>0</v>
      </c>
      <c r="P45" s="278"/>
      <c r="R45" s="243"/>
      <c r="S45" s="243"/>
      <c r="T45" s="243"/>
      <c r="U45" s="243"/>
    </row>
    <row r="46" spans="3:21">
      <c r="C46" s="495">
        <f>IF(D11="","-",+C45+1)</f>
        <v>2045</v>
      </c>
      <c r="D46" s="510">
        <f>IF(F45+SUM(E$17:E45)=D$10,F45,D$10-SUM(E$17:E45))</f>
        <v>11335487.618939575</v>
      </c>
      <c r="E46" s="509">
        <f>IF(+I14&lt;F45,I14,D46)</f>
        <v>2068105.1212121211</v>
      </c>
      <c r="F46" s="510">
        <f t="shared" si="6"/>
        <v>9267382.4977274537</v>
      </c>
      <c r="G46" s="511">
        <f t="shared" si="7"/>
        <v>3250285.1778929657</v>
      </c>
      <c r="H46" s="477">
        <f t="shared" si="8"/>
        <v>3250285.1778929657</v>
      </c>
      <c r="I46" s="500">
        <f t="shared" si="0"/>
        <v>0</v>
      </c>
      <c r="J46" s="500"/>
      <c r="K46" s="512"/>
      <c r="L46" s="504">
        <f t="shared" si="9"/>
        <v>0</v>
      </c>
      <c r="M46" s="512"/>
      <c r="N46" s="504">
        <f t="shared" si="4"/>
        <v>0</v>
      </c>
      <c r="O46" s="504">
        <f t="shared" si="5"/>
        <v>0</v>
      </c>
      <c r="P46" s="278"/>
      <c r="R46" s="243"/>
      <c r="S46" s="243"/>
      <c r="T46" s="243"/>
      <c r="U46" s="243"/>
    </row>
    <row r="47" spans="3:21">
      <c r="C47" s="495">
        <f>IF(D11="","-",+C46+1)</f>
        <v>2046</v>
      </c>
      <c r="D47" s="510">
        <f>IF(F46+SUM(E$17:E46)=D$10,F46,D$10-SUM(E$17:E46))</f>
        <v>9267382.4977274537</v>
      </c>
      <c r="E47" s="509">
        <f>IF(+I14&lt;F46,I14,D47)</f>
        <v>2068105.1212121211</v>
      </c>
      <c r="F47" s="510">
        <f t="shared" si="6"/>
        <v>7199277.3765153326</v>
      </c>
      <c r="G47" s="511">
        <f t="shared" si="7"/>
        <v>3012951.9698911668</v>
      </c>
      <c r="H47" s="477">
        <f t="shared" si="8"/>
        <v>3012951.9698911668</v>
      </c>
      <c r="I47" s="500">
        <f t="shared" si="0"/>
        <v>0</v>
      </c>
      <c r="J47" s="500"/>
      <c r="K47" s="512"/>
      <c r="L47" s="504">
        <f t="shared" si="9"/>
        <v>0</v>
      </c>
      <c r="M47" s="512"/>
      <c r="N47" s="504">
        <f t="shared" si="4"/>
        <v>0</v>
      </c>
      <c r="O47" s="504">
        <f t="shared" si="5"/>
        <v>0</v>
      </c>
      <c r="P47" s="278"/>
      <c r="R47" s="243"/>
      <c r="S47" s="243"/>
      <c r="T47" s="243"/>
      <c r="U47" s="243"/>
    </row>
    <row r="48" spans="3:21">
      <c r="C48" s="495">
        <f>IF(D11="","-",+C47+1)</f>
        <v>2047</v>
      </c>
      <c r="D48" s="510">
        <f>IF(F47+SUM(E$17:E47)=D$10,F47,D$10-SUM(E$17:E47))</f>
        <v>7199277.3765153326</v>
      </c>
      <c r="E48" s="509">
        <f>IF(+I14&lt;F47,I14,D48)</f>
        <v>2068105.1212121211</v>
      </c>
      <c r="F48" s="510">
        <f t="shared" si="6"/>
        <v>5131172.2553032115</v>
      </c>
      <c r="G48" s="511">
        <f t="shared" si="7"/>
        <v>2775618.7618893683</v>
      </c>
      <c r="H48" s="477">
        <f t="shared" si="8"/>
        <v>2775618.7618893683</v>
      </c>
      <c r="I48" s="500">
        <f t="shared" si="0"/>
        <v>0</v>
      </c>
      <c r="J48" s="500"/>
      <c r="K48" s="512"/>
      <c r="L48" s="504">
        <f t="shared" si="9"/>
        <v>0</v>
      </c>
      <c r="M48" s="512"/>
      <c r="N48" s="504">
        <f t="shared" si="4"/>
        <v>0</v>
      </c>
      <c r="O48" s="504">
        <f t="shared" si="5"/>
        <v>0</v>
      </c>
      <c r="P48" s="278"/>
      <c r="R48" s="243"/>
      <c r="S48" s="243"/>
      <c r="T48" s="243"/>
      <c r="U48" s="243"/>
    </row>
    <row r="49" spans="3:21">
      <c r="C49" s="495">
        <f>IF(D11="","-",+C48+1)</f>
        <v>2048</v>
      </c>
      <c r="D49" s="510">
        <f>IF(F48+SUM(E$17:E48)=D$10,F48,D$10-SUM(E$17:E48))</f>
        <v>5131172.2553032115</v>
      </c>
      <c r="E49" s="509">
        <f>IF(+I14&lt;F48,I14,D49)</f>
        <v>2068105.1212121211</v>
      </c>
      <c r="F49" s="510">
        <f t="shared" si="6"/>
        <v>3063067.1340910904</v>
      </c>
      <c r="G49" s="511">
        <f t="shared" si="7"/>
        <v>2538285.5538875693</v>
      </c>
      <c r="H49" s="477">
        <f t="shared" si="8"/>
        <v>2538285.5538875693</v>
      </c>
      <c r="I49" s="500">
        <f t="shared" si="0"/>
        <v>0</v>
      </c>
      <c r="J49" s="500"/>
      <c r="K49" s="512"/>
      <c r="L49" s="504">
        <f t="shared" si="9"/>
        <v>0</v>
      </c>
      <c r="M49" s="512"/>
      <c r="N49" s="504">
        <f t="shared" si="4"/>
        <v>0</v>
      </c>
      <c r="O49" s="504">
        <f t="shared" si="5"/>
        <v>0</v>
      </c>
      <c r="P49" s="278"/>
      <c r="R49" s="243"/>
      <c r="S49" s="243"/>
      <c r="T49" s="243"/>
      <c r="U49" s="243"/>
    </row>
    <row r="50" spans="3:21">
      <c r="C50" s="495">
        <f>IF(D11="","-",+C49+1)</f>
        <v>2049</v>
      </c>
      <c r="D50" s="510">
        <f>IF(F49+SUM(E$17:E49)=D$10,F49,D$10-SUM(E$17:E49))</f>
        <v>3063067.1340910904</v>
      </c>
      <c r="E50" s="509">
        <f>IF(+I14&lt;F49,I14,D50)</f>
        <v>2068105.1212121211</v>
      </c>
      <c r="F50" s="510">
        <f t="shared" si="6"/>
        <v>994962.01287896931</v>
      </c>
      <c r="G50" s="511">
        <f t="shared" si="7"/>
        <v>2300952.3458857704</v>
      </c>
      <c r="H50" s="477">
        <f t="shared" si="8"/>
        <v>2300952.3458857704</v>
      </c>
      <c r="I50" s="500">
        <f t="shared" si="0"/>
        <v>0</v>
      </c>
      <c r="J50" s="500"/>
      <c r="K50" s="512"/>
      <c r="L50" s="504">
        <f t="shared" si="9"/>
        <v>0</v>
      </c>
      <c r="M50" s="512"/>
      <c r="N50" s="504">
        <f t="shared" si="4"/>
        <v>0</v>
      </c>
      <c r="O50" s="504">
        <f t="shared" si="5"/>
        <v>0</v>
      </c>
      <c r="P50" s="278"/>
      <c r="R50" s="243"/>
      <c r="S50" s="243"/>
      <c r="T50" s="243"/>
      <c r="U50" s="243"/>
    </row>
    <row r="51" spans="3:21">
      <c r="C51" s="495">
        <f>IF(D11="","-",+C50+1)</f>
        <v>2050</v>
      </c>
      <c r="D51" s="510">
        <f>IF(F50+SUM(E$17:E50)=D$10,F50,D$10-SUM(E$17:E50))</f>
        <v>994962.01287896931</v>
      </c>
      <c r="E51" s="509">
        <f>IF(+I14&lt;F50,I14,D51)</f>
        <v>994962.01287896931</v>
      </c>
      <c r="F51" s="510">
        <f t="shared" si="6"/>
        <v>0</v>
      </c>
      <c r="G51" s="511">
        <f t="shared" si="7"/>
        <v>1052052.3232153442</v>
      </c>
      <c r="H51" s="477">
        <f t="shared" si="8"/>
        <v>1052052.3232153442</v>
      </c>
      <c r="I51" s="500">
        <f t="shared" si="0"/>
        <v>0</v>
      </c>
      <c r="J51" s="500"/>
      <c r="K51" s="512"/>
      <c r="L51" s="504">
        <f t="shared" si="9"/>
        <v>0</v>
      </c>
      <c r="M51" s="512"/>
      <c r="N51" s="504">
        <f t="shared" si="4"/>
        <v>0</v>
      </c>
      <c r="O51" s="504">
        <f t="shared" si="5"/>
        <v>0</v>
      </c>
      <c r="P51" s="278"/>
      <c r="R51" s="243"/>
      <c r="S51" s="243"/>
      <c r="T51" s="243"/>
      <c r="U51" s="243"/>
    </row>
    <row r="52" spans="3:21">
      <c r="C52" s="495">
        <f>IF(D11="","-",+C51+1)</f>
        <v>2051</v>
      </c>
      <c r="D52" s="510">
        <f>IF(F51+SUM(E$17:E51)=D$10,F51,D$10-SUM(E$17:E51))</f>
        <v>0</v>
      </c>
      <c r="E52" s="509">
        <f>IF(+I14&lt;F51,I14,D52)</f>
        <v>0</v>
      </c>
      <c r="F52" s="510">
        <f t="shared" si="6"/>
        <v>0</v>
      </c>
      <c r="G52" s="511">
        <f t="shared" si="7"/>
        <v>0</v>
      </c>
      <c r="H52" s="477">
        <f t="shared" si="8"/>
        <v>0</v>
      </c>
      <c r="I52" s="500">
        <f t="shared" si="0"/>
        <v>0</v>
      </c>
      <c r="J52" s="500"/>
      <c r="K52" s="512"/>
      <c r="L52" s="504">
        <f t="shared" si="9"/>
        <v>0</v>
      </c>
      <c r="M52" s="512"/>
      <c r="N52" s="504">
        <f t="shared" si="4"/>
        <v>0</v>
      </c>
      <c r="O52" s="504">
        <f t="shared" si="5"/>
        <v>0</v>
      </c>
      <c r="P52" s="278"/>
      <c r="R52" s="243"/>
      <c r="S52" s="243"/>
      <c r="T52" s="243"/>
      <c r="U52" s="243"/>
    </row>
    <row r="53" spans="3:21">
      <c r="C53" s="495">
        <f>IF(D11="","-",+C52+1)</f>
        <v>2052</v>
      </c>
      <c r="D53" s="510">
        <f>IF(F52+SUM(E$17:E52)=D$10,F52,D$10-SUM(E$17:E52))</f>
        <v>0</v>
      </c>
      <c r="E53" s="509">
        <f>IF(+I14&lt;F52,I14,D53)</f>
        <v>0</v>
      </c>
      <c r="F53" s="510">
        <f t="shared" si="6"/>
        <v>0</v>
      </c>
      <c r="G53" s="511">
        <f t="shared" si="7"/>
        <v>0</v>
      </c>
      <c r="H53" s="477">
        <f t="shared" si="8"/>
        <v>0</v>
      </c>
      <c r="I53" s="500">
        <f t="shared" si="0"/>
        <v>0</v>
      </c>
      <c r="J53" s="500"/>
      <c r="K53" s="512"/>
      <c r="L53" s="504">
        <f t="shared" si="9"/>
        <v>0</v>
      </c>
      <c r="M53" s="512"/>
      <c r="N53" s="504">
        <f t="shared" si="4"/>
        <v>0</v>
      </c>
      <c r="O53" s="504">
        <f t="shared" si="5"/>
        <v>0</v>
      </c>
      <c r="P53" s="278"/>
      <c r="R53" s="243"/>
      <c r="S53" s="243"/>
      <c r="T53" s="243"/>
      <c r="U53" s="243"/>
    </row>
    <row r="54" spans="3:21">
      <c r="C54" s="495">
        <f>IF(D11="","-",+C53+1)</f>
        <v>2053</v>
      </c>
      <c r="D54" s="510">
        <f>IF(F53+SUM(E$17:E53)=D$10,F53,D$10-SUM(E$17:E53))</f>
        <v>0</v>
      </c>
      <c r="E54" s="509">
        <f>IF(+I14&lt;F53,I14,D54)</f>
        <v>0</v>
      </c>
      <c r="F54" s="510">
        <f t="shared" si="6"/>
        <v>0</v>
      </c>
      <c r="G54" s="511">
        <f t="shared" si="7"/>
        <v>0</v>
      </c>
      <c r="H54" s="477">
        <f t="shared" si="8"/>
        <v>0</v>
      </c>
      <c r="I54" s="500">
        <f t="shared" si="0"/>
        <v>0</v>
      </c>
      <c r="J54" s="500"/>
      <c r="K54" s="512"/>
      <c r="L54" s="504">
        <f t="shared" si="9"/>
        <v>0</v>
      </c>
      <c r="M54" s="512"/>
      <c r="N54" s="504">
        <f t="shared" si="4"/>
        <v>0</v>
      </c>
      <c r="O54" s="504">
        <f t="shared" si="5"/>
        <v>0</v>
      </c>
      <c r="P54" s="278"/>
      <c r="R54" s="243"/>
      <c r="S54" s="243"/>
      <c r="T54" s="243"/>
      <c r="U54" s="243"/>
    </row>
    <row r="55" spans="3:21">
      <c r="C55" s="495">
        <f>IF(D11="","-",+C54+1)</f>
        <v>2054</v>
      </c>
      <c r="D55" s="510">
        <f>IF(F54+SUM(E$17:E54)=D$10,F54,D$10-SUM(E$17:E54))</f>
        <v>0</v>
      </c>
      <c r="E55" s="509">
        <f>IF(+I14&lt;F54,I14,D55)</f>
        <v>0</v>
      </c>
      <c r="F55" s="510">
        <f t="shared" si="6"/>
        <v>0</v>
      </c>
      <c r="G55" s="511">
        <f t="shared" si="7"/>
        <v>0</v>
      </c>
      <c r="H55" s="477">
        <f t="shared" si="8"/>
        <v>0</v>
      </c>
      <c r="I55" s="500">
        <f t="shared" si="0"/>
        <v>0</v>
      </c>
      <c r="J55" s="500"/>
      <c r="K55" s="512"/>
      <c r="L55" s="504">
        <f t="shared" si="9"/>
        <v>0</v>
      </c>
      <c r="M55" s="512"/>
      <c r="N55" s="504">
        <f t="shared" si="4"/>
        <v>0</v>
      </c>
      <c r="O55" s="504">
        <f t="shared" si="5"/>
        <v>0</v>
      </c>
      <c r="P55" s="278"/>
      <c r="R55" s="243"/>
      <c r="S55" s="243"/>
      <c r="T55" s="243"/>
      <c r="U55" s="243"/>
    </row>
    <row r="56" spans="3:21">
      <c r="C56" s="495">
        <f>IF(D11="","-",+C55+1)</f>
        <v>2055</v>
      </c>
      <c r="D56" s="510">
        <f>IF(F55+SUM(E$17:E55)=D$10,F55,D$10-SUM(E$17:E55))</f>
        <v>0</v>
      </c>
      <c r="E56" s="509">
        <f>IF(+I14&lt;F55,I14,D56)</f>
        <v>0</v>
      </c>
      <c r="F56" s="510">
        <f t="shared" si="6"/>
        <v>0</v>
      </c>
      <c r="G56" s="511">
        <f t="shared" si="7"/>
        <v>0</v>
      </c>
      <c r="H56" s="477">
        <f t="shared" si="8"/>
        <v>0</v>
      </c>
      <c r="I56" s="500">
        <f t="shared" si="0"/>
        <v>0</v>
      </c>
      <c r="J56" s="500"/>
      <c r="K56" s="512"/>
      <c r="L56" s="504">
        <f t="shared" si="9"/>
        <v>0</v>
      </c>
      <c r="M56" s="512"/>
      <c r="N56" s="504">
        <f t="shared" si="4"/>
        <v>0</v>
      </c>
      <c r="O56" s="504">
        <f t="shared" si="5"/>
        <v>0</v>
      </c>
      <c r="P56" s="278"/>
      <c r="R56" s="243"/>
      <c r="S56" s="243"/>
      <c r="T56" s="243"/>
      <c r="U56" s="243"/>
    </row>
    <row r="57" spans="3:21">
      <c r="C57" s="495">
        <f>IF(D11="","-",+C56+1)</f>
        <v>2056</v>
      </c>
      <c r="D57" s="510">
        <f>IF(F56+SUM(E$17:E56)=D$10,F56,D$10-SUM(E$17:E56))</f>
        <v>0</v>
      </c>
      <c r="E57" s="509">
        <f>IF(+I14&lt;F56,I14,D57)</f>
        <v>0</v>
      </c>
      <c r="F57" s="510">
        <f t="shared" si="6"/>
        <v>0</v>
      </c>
      <c r="G57" s="511">
        <f t="shared" si="7"/>
        <v>0</v>
      </c>
      <c r="H57" s="477">
        <f t="shared" si="8"/>
        <v>0</v>
      </c>
      <c r="I57" s="500">
        <f t="shared" si="0"/>
        <v>0</v>
      </c>
      <c r="J57" s="500"/>
      <c r="K57" s="512"/>
      <c r="L57" s="504">
        <f t="shared" si="9"/>
        <v>0</v>
      </c>
      <c r="M57" s="512"/>
      <c r="N57" s="504">
        <f t="shared" si="4"/>
        <v>0</v>
      </c>
      <c r="O57" s="504">
        <f t="shared" si="5"/>
        <v>0</v>
      </c>
      <c r="P57" s="278"/>
      <c r="R57" s="243"/>
      <c r="S57" s="243"/>
      <c r="T57" s="243"/>
      <c r="U57" s="243"/>
    </row>
    <row r="58" spans="3:21">
      <c r="C58" s="495">
        <f>IF(D11="","-",+C57+1)</f>
        <v>2057</v>
      </c>
      <c r="D58" s="510">
        <f>IF(F57+SUM(E$17:E57)=D$10,F57,D$10-SUM(E$17:E57))</f>
        <v>0</v>
      </c>
      <c r="E58" s="509">
        <f>IF(+I14&lt;F57,I14,D58)</f>
        <v>0</v>
      </c>
      <c r="F58" s="510">
        <f t="shared" si="6"/>
        <v>0</v>
      </c>
      <c r="G58" s="511">
        <f t="shared" si="7"/>
        <v>0</v>
      </c>
      <c r="H58" s="477">
        <f t="shared" si="8"/>
        <v>0</v>
      </c>
      <c r="I58" s="500">
        <f t="shared" si="0"/>
        <v>0</v>
      </c>
      <c r="J58" s="500"/>
      <c r="K58" s="512"/>
      <c r="L58" s="504">
        <f t="shared" si="9"/>
        <v>0</v>
      </c>
      <c r="M58" s="512"/>
      <c r="N58" s="504">
        <f t="shared" si="4"/>
        <v>0</v>
      </c>
      <c r="O58" s="504">
        <f t="shared" si="5"/>
        <v>0</v>
      </c>
      <c r="P58" s="278"/>
      <c r="R58" s="243"/>
      <c r="S58" s="243"/>
      <c r="T58" s="243"/>
      <c r="U58" s="243"/>
    </row>
    <row r="59" spans="3:21">
      <c r="C59" s="495">
        <f>IF(D11="","-",+C58+1)</f>
        <v>2058</v>
      </c>
      <c r="D59" s="510">
        <f>IF(F58+SUM(E$17:E58)=D$10,F58,D$10-SUM(E$17:E58))</f>
        <v>0</v>
      </c>
      <c r="E59" s="509">
        <f>IF(+I14&lt;F58,I14,D59)</f>
        <v>0</v>
      </c>
      <c r="F59" s="510">
        <f t="shared" si="6"/>
        <v>0</v>
      </c>
      <c r="G59" s="511">
        <f t="shared" si="7"/>
        <v>0</v>
      </c>
      <c r="H59" s="477">
        <f t="shared" si="8"/>
        <v>0</v>
      </c>
      <c r="I59" s="500">
        <f t="shared" si="0"/>
        <v>0</v>
      </c>
      <c r="J59" s="500"/>
      <c r="K59" s="512"/>
      <c r="L59" s="504">
        <f t="shared" si="9"/>
        <v>0</v>
      </c>
      <c r="M59" s="512"/>
      <c r="N59" s="504">
        <f t="shared" si="4"/>
        <v>0</v>
      </c>
      <c r="O59" s="504">
        <f t="shared" si="5"/>
        <v>0</v>
      </c>
      <c r="P59" s="278"/>
      <c r="R59" s="243"/>
      <c r="S59" s="243"/>
      <c r="T59" s="243"/>
      <c r="U59" s="243"/>
    </row>
    <row r="60" spans="3:21">
      <c r="C60" s="495">
        <f>IF(D11="","-",+C59+1)</f>
        <v>2059</v>
      </c>
      <c r="D60" s="510">
        <f>IF(F59+SUM(E$17:E59)=D$10,F59,D$10-SUM(E$17:E59))</f>
        <v>0</v>
      </c>
      <c r="E60" s="509">
        <f>IF(+I14&lt;F59,I14,D60)</f>
        <v>0</v>
      </c>
      <c r="F60" s="510">
        <f t="shared" si="6"/>
        <v>0</v>
      </c>
      <c r="G60" s="511">
        <f t="shared" si="7"/>
        <v>0</v>
      </c>
      <c r="H60" s="477">
        <f t="shared" si="8"/>
        <v>0</v>
      </c>
      <c r="I60" s="500">
        <f t="shared" si="0"/>
        <v>0</v>
      </c>
      <c r="J60" s="500"/>
      <c r="K60" s="512"/>
      <c r="L60" s="504">
        <f t="shared" si="9"/>
        <v>0</v>
      </c>
      <c r="M60" s="512"/>
      <c r="N60" s="504">
        <f t="shared" si="4"/>
        <v>0</v>
      </c>
      <c r="O60" s="504">
        <f t="shared" si="5"/>
        <v>0</v>
      </c>
      <c r="P60" s="278"/>
      <c r="R60" s="243"/>
      <c r="S60" s="243"/>
      <c r="T60" s="243"/>
      <c r="U60" s="243"/>
    </row>
    <row r="61" spans="3:21">
      <c r="C61" s="495">
        <f>IF(D11="","-",+C60+1)</f>
        <v>2060</v>
      </c>
      <c r="D61" s="510">
        <f>IF(F60+SUM(E$17:E60)=D$10,F60,D$10-SUM(E$17:E60))</f>
        <v>0</v>
      </c>
      <c r="E61" s="509">
        <f>IF(+I14&lt;F60,I14,D61)</f>
        <v>0</v>
      </c>
      <c r="F61" s="510">
        <f t="shared" si="6"/>
        <v>0</v>
      </c>
      <c r="G61" s="511">
        <f t="shared" si="7"/>
        <v>0</v>
      </c>
      <c r="H61" s="477">
        <f t="shared" si="8"/>
        <v>0</v>
      </c>
      <c r="I61" s="500">
        <f t="shared" si="0"/>
        <v>0</v>
      </c>
      <c r="J61" s="500"/>
      <c r="K61" s="512"/>
      <c r="L61" s="504">
        <f t="shared" si="9"/>
        <v>0</v>
      </c>
      <c r="M61" s="512"/>
      <c r="N61" s="504">
        <f t="shared" si="4"/>
        <v>0</v>
      </c>
      <c r="O61" s="504">
        <f t="shared" si="5"/>
        <v>0</v>
      </c>
      <c r="P61" s="278"/>
      <c r="R61" s="243"/>
      <c r="S61" s="243"/>
      <c r="T61" s="243"/>
      <c r="U61" s="243"/>
    </row>
    <row r="62" spans="3:21">
      <c r="C62" s="495">
        <f>IF(D11="","-",+C61+1)</f>
        <v>2061</v>
      </c>
      <c r="D62" s="510">
        <f>IF(F61+SUM(E$17:E61)=D$10,F61,D$10-SUM(E$17:E61))</f>
        <v>0</v>
      </c>
      <c r="E62" s="509">
        <f>IF(+I14&lt;F61,I14,D62)</f>
        <v>0</v>
      </c>
      <c r="F62" s="510">
        <f t="shared" si="6"/>
        <v>0</v>
      </c>
      <c r="G62" s="511">
        <f t="shared" si="7"/>
        <v>0</v>
      </c>
      <c r="H62" s="477">
        <f t="shared" si="8"/>
        <v>0</v>
      </c>
      <c r="I62" s="500">
        <f t="shared" si="0"/>
        <v>0</v>
      </c>
      <c r="J62" s="500"/>
      <c r="K62" s="512"/>
      <c r="L62" s="504">
        <f t="shared" si="9"/>
        <v>0</v>
      </c>
      <c r="M62" s="512"/>
      <c r="N62" s="504">
        <f t="shared" si="4"/>
        <v>0</v>
      </c>
      <c r="O62" s="504">
        <f t="shared" si="5"/>
        <v>0</v>
      </c>
      <c r="P62" s="278"/>
      <c r="R62" s="243"/>
      <c r="S62" s="243"/>
      <c r="T62" s="243"/>
      <c r="U62" s="243"/>
    </row>
    <row r="63" spans="3:21">
      <c r="C63" s="495">
        <f>IF(D11="","-",+C62+1)</f>
        <v>2062</v>
      </c>
      <c r="D63" s="510">
        <f>IF(F62+SUM(E$17:E62)=D$10,F62,D$10-SUM(E$17:E62))</f>
        <v>0</v>
      </c>
      <c r="E63" s="509">
        <f>IF(+I14&lt;F62,I14,D63)</f>
        <v>0</v>
      </c>
      <c r="F63" s="510">
        <f t="shared" si="6"/>
        <v>0</v>
      </c>
      <c r="G63" s="511">
        <f t="shared" si="7"/>
        <v>0</v>
      </c>
      <c r="H63" s="477">
        <f t="shared" si="8"/>
        <v>0</v>
      </c>
      <c r="I63" s="500">
        <f t="shared" si="0"/>
        <v>0</v>
      </c>
      <c r="J63" s="500"/>
      <c r="K63" s="512"/>
      <c r="L63" s="504">
        <f t="shared" si="9"/>
        <v>0</v>
      </c>
      <c r="M63" s="512"/>
      <c r="N63" s="504">
        <f t="shared" si="4"/>
        <v>0</v>
      </c>
      <c r="O63" s="504">
        <f t="shared" si="5"/>
        <v>0</v>
      </c>
      <c r="P63" s="278"/>
      <c r="R63" s="243"/>
      <c r="S63" s="243"/>
      <c r="T63" s="243"/>
      <c r="U63" s="243"/>
    </row>
    <row r="64" spans="3:21">
      <c r="C64" s="495">
        <f>IF(D11="","-",+C63+1)</f>
        <v>2063</v>
      </c>
      <c r="D64" s="510">
        <f>IF(F63+SUM(E$17:E63)=D$10,F63,D$10-SUM(E$17:E63))</f>
        <v>0</v>
      </c>
      <c r="E64" s="509">
        <f>IF(+I14&lt;F63,I14,D64)</f>
        <v>0</v>
      </c>
      <c r="F64" s="510">
        <f t="shared" si="6"/>
        <v>0</v>
      </c>
      <c r="G64" s="511">
        <f t="shared" si="7"/>
        <v>0</v>
      </c>
      <c r="H64" s="477">
        <f t="shared" si="8"/>
        <v>0</v>
      </c>
      <c r="I64" s="500">
        <f t="shared" si="0"/>
        <v>0</v>
      </c>
      <c r="J64" s="500"/>
      <c r="K64" s="512"/>
      <c r="L64" s="504">
        <f t="shared" si="9"/>
        <v>0</v>
      </c>
      <c r="M64" s="512"/>
      <c r="N64" s="504">
        <f t="shared" si="4"/>
        <v>0</v>
      </c>
      <c r="O64" s="504">
        <f t="shared" si="5"/>
        <v>0</v>
      </c>
      <c r="P64" s="278"/>
      <c r="R64" s="243"/>
      <c r="S64" s="243"/>
      <c r="T64" s="243"/>
      <c r="U64" s="243"/>
    </row>
    <row r="65" spans="2:21">
      <c r="C65" s="495">
        <f>IF(D11="","-",+C64+1)</f>
        <v>2064</v>
      </c>
      <c r="D65" s="510">
        <f>IF(F64+SUM(E$17:E64)=D$10,F64,D$10-SUM(E$17:E64))</f>
        <v>0</v>
      </c>
      <c r="E65" s="509">
        <f>IF(+I14&lt;F64,I14,D65)</f>
        <v>0</v>
      </c>
      <c r="F65" s="510">
        <f t="shared" si="6"/>
        <v>0</v>
      </c>
      <c r="G65" s="511">
        <f t="shared" si="7"/>
        <v>0</v>
      </c>
      <c r="H65" s="477">
        <f t="shared" si="8"/>
        <v>0</v>
      </c>
      <c r="I65" s="500">
        <f t="shared" si="0"/>
        <v>0</v>
      </c>
      <c r="J65" s="500"/>
      <c r="K65" s="512"/>
      <c r="L65" s="504">
        <f t="shared" si="9"/>
        <v>0</v>
      </c>
      <c r="M65" s="512"/>
      <c r="N65" s="504">
        <f t="shared" si="4"/>
        <v>0</v>
      </c>
      <c r="O65" s="504">
        <f t="shared" si="5"/>
        <v>0</v>
      </c>
      <c r="P65" s="278"/>
      <c r="R65" s="243"/>
      <c r="S65" s="243"/>
      <c r="T65" s="243"/>
      <c r="U65" s="243"/>
    </row>
    <row r="66" spans="2:21">
      <c r="C66" s="495">
        <f>IF(D11="","-",+C65+1)</f>
        <v>2065</v>
      </c>
      <c r="D66" s="510">
        <f>IF(F65+SUM(E$17:E65)=D$10,F65,D$10-SUM(E$17:E65))</f>
        <v>0</v>
      </c>
      <c r="E66" s="509">
        <f>IF(+I14&lt;F65,I14,D66)</f>
        <v>0</v>
      </c>
      <c r="F66" s="510">
        <f t="shared" si="6"/>
        <v>0</v>
      </c>
      <c r="G66" s="511">
        <f t="shared" si="7"/>
        <v>0</v>
      </c>
      <c r="H66" s="477">
        <f t="shared" si="8"/>
        <v>0</v>
      </c>
      <c r="I66" s="500">
        <f t="shared" si="0"/>
        <v>0</v>
      </c>
      <c r="J66" s="500"/>
      <c r="K66" s="512"/>
      <c r="L66" s="504">
        <f t="shared" si="9"/>
        <v>0</v>
      </c>
      <c r="M66" s="512"/>
      <c r="N66" s="504">
        <f t="shared" si="4"/>
        <v>0</v>
      </c>
      <c r="O66" s="504">
        <f t="shared" si="5"/>
        <v>0</v>
      </c>
      <c r="P66" s="278"/>
      <c r="R66" s="243"/>
      <c r="S66" s="243"/>
      <c r="T66" s="243"/>
      <c r="U66" s="243"/>
    </row>
    <row r="67" spans="2:21">
      <c r="C67" s="495">
        <f>IF(D11="","-",+C66+1)</f>
        <v>2066</v>
      </c>
      <c r="D67" s="510">
        <f>IF(F66+SUM(E$17:E66)=D$10,F66,D$10-SUM(E$17:E66))</f>
        <v>0</v>
      </c>
      <c r="E67" s="509">
        <f>IF(+I14&lt;F66,I14,D67)</f>
        <v>0</v>
      </c>
      <c r="F67" s="510">
        <f t="shared" si="6"/>
        <v>0</v>
      </c>
      <c r="G67" s="511">
        <f t="shared" si="7"/>
        <v>0</v>
      </c>
      <c r="H67" s="477">
        <f t="shared" si="8"/>
        <v>0</v>
      </c>
      <c r="I67" s="500">
        <f t="shared" si="0"/>
        <v>0</v>
      </c>
      <c r="J67" s="500"/>
      <c r="K67" s="512"/>
      <c r="L67" s="504">
        <f t="shared" si="9"/>
        <v>0</v>
      </c>
      <c r="M67" s="512"/>
      <c r="N67" s="504">
        <f t="shared" si="4"/>
        <v>0</v>
      </c>
      <c r="O67" s="504">
        <f t="shared" si="5"/>
        <v>0</v>
      </c>
      <c r="P67" s="278"/>
      <c r="R67" s="243"/>
      <c r="S67" s="243"/>
      <c r="T67" s="243"/>
      <c r="U67" s="243"/>
    </row>
    <row r="68" spans="2:21">
      <c r="C68" s="495">
        <f>IF(D11="","-",+C67+1)</f>
        <v>2067</v>
      </c>
      <c r="D68" s="510">
        <f>IF(F67+SUM(E$17:E67)=D$10,F67,D$10-SUM(E$17:E67))</f>
        <v>0</v>
      </c>
      <c r="E68" s="509">
        <f>IF(+I14&lt;F67,I14,D68)</f>
        <v>0</v>
      </c>
      <c r="F68" s="510">
        <f t="shared" si="6"/>
        <v>0</v>
      </c>
      <c r="G68" s="511">
        <f t="shared" si="7"/>
        <v>0</v>
      </c>
      <c r="H68" s="477">
        <f t="shared" si="8"/>
        <v>0</v>
      </c>
      <c r="I68" s="500">
        <f t="shared" si="0"/>
        <v>0</v>
      </c>
      <c r="J68" s="500"/>
      <c r="K68" s="512"/>
      <c r="L68" s="504">
        <f t="shared" si="9"/>
        <v>0</v>
      </c>
      <c r="M68" s="512"/>
      <c r="N68" s="504">
        <f t="shared" si="4"/>
        <v>0</v>
      </c>
      <c r="O68" s="504">
        <f t="shared" si="5"/>
        <v>0</v>
      </c>
      <c r="P68" s="278"/>
      <c r="R68" s="243"/>
      <c r="S68" s="243"/>
      <c r="T68" s="243"/>
      <c r="U68" s="243"/>
    </row>
    <row r="69" spans="2:21">
      <c r="C69" s="495">
        <f>IF(D11="","-",+C68+1)</f>
        <v>2068</v>
      </c>
      <c r="D69" s="510">
        <f>IF(F68+SUM(E$17:E68)=D$10,F68,D$10-SUM(E$17:E68))</f>
        <v>0</v>
      </c>
      <c r="E69" s="509">
        <f>IF(+I14&lt;F68,I14,D69)</f>
        <v>0</v>
      </c>
      <c r="F69" s="510">
        <f t="shared" si="6"/>
        <v>0</v>
      </c>
      <c r="G69" s="511">
        <f t="shared" si="7"/>
        <v>0</v>
      </c>
      <c r="H69" s="477">
        <f t="shared" si="8"/>
        <v>0</v>
      </c>
      <c r="I69" s="500">
        <f t="shared" si="0"/>
        <v>0</v>
      </c>
      <c r="J69" s="500"/>
      <c r="K69" s="512"/>
      <c r="L69" s="504">
        <f t="shared" si="9"/>
        <v>0</v>
      </c>
      <c r="M69" s="512"/>
      <c r="N69" s="504">
        <f t="shared" si="4"/>
        <v>0</v>
      </c>
      <c r="O69" s="504">
        <f t="shared" si="5"/>
        <v>0</v>
      </c>
      <c r="P69" s="278"/>
      <c r="R69" s="243"/>
      <c r="S69" s="243"/>
      <c r="T69" s="243"/>
      <c r="U69" s="243"/>
    </row>
    <row r="70" spans="2:21">
      <c r="C70" s="495">
        <f>IF(D11="","-",+C69+1)</f>
        <v>2069</v>
      </c>
      <c r="D70" s="510">
        <f>IF(F69+SUM(E$17:E69)=D$10,F69,D$10-SUM(E$17:E69))</f>
        <v>0</v>
      </c>
      <c r="E70" s="509">
        <f>IF(+I14&lt;F69,I14,D70)</f>
        <v>0</v>
      </c>
      <c r="F70" s="510">
        <f t="shared" si="6"/>
        <v>0</v>
      </c>
      <c r="G70" s="511">
        <f t="shared" si="7"/>
        <v>0</v>
      </c>
      <c r="H70" s="477">
        <f t="shared" si="8"/>
        <v>0</v>
      </c>
      <c r="I70" s="500">
        <f t="shared" si="0"/>
        <v>0</v>
      </c>
      <c r="J70" s="500"/>
      <c r="K70" s="512"/>
      <c r="L70" s="504">
        <f t="shared" si="9"/>
        <v>0</v>
      </c>
      <c r="M70" s="512"/>
      <c r="N70" s="504">
        <f t="shared" si="4"/>
        <v>0</v>
      </c>
      <c r="O70" s="504">
        <f t="shared" si="5"/>
        <v>0</v>
      </c>
      <c r="P70" s="278"/>
      <c r="R70" s="243"/>
      <c r="S70" s="243"/>
      <c r="T70" s="243"/>
      <c r="U70" s="243"/>
    </row>
    <row r="71" spans="2:21">
      <c r="C71" s="495">
        <f>IF(D11="","-",+C70+1)</f>
        <v>2070</v>
      </c>
      <c r="D71" s="510">
        <f>IF(F70+SUM(E$17:E70)=D$10,F70,D$10-SUM(E$17:E70))</f>
        <v>0</v>
      </c>
      <c r="E71" s="509">
        <f>IF(+I14&lt;F70,I14,D71)</f>
        <v>0</v>
      </c>
      <c r="F71" s="510">
        <f t="shared" si="6"/>
        <v>0</v>
      </c>
      <c r="G71" s="511">
        <f t="shared" si="7"/>
        <v>0</v>
      </c>
      <c r="H71" s="477">
        <f t="shared" si="8"/>
        <v>0</v>
      </c>
      <c r="I71" s="500">
        <f t="shared" si="0"/>
        <v>0</v>
      </c>
      <c r="J71" s="500"/>
      <c r="K71" s="512"/>
      <c r="L71" s="504">
        <f t="shared" si="9"/>
        <v>0</v>
      </c>
      <c r="M71" s="512"/>
      <c r="N71" s="504">
        <f t="shared" si="4"/>
        <v>0</v>
      </c>
      <c r="O71" s="504">
        <f t="shared" si="5"/>
        <v>0</v>
      </c>
      <c r="P71" s="278"/>
      <c r="R71" s="243"/>
      <c r="S71" s="243"/>
      <c r="T71" s="243"/>
      <c r="U71" s="243"/>
    </row>
    <row r="72" spans="2:21">
      <c r="C72" s="495">
        <f>IF(D11="","-",+C71+1)</f>
        <v>2071</v>
      </c>
      <c r="D72" s="510">
        <f>IF(F71+SUM(E$17:E71)=D$10,F71,D$10-SUM(E$17:E71))</f>
        <v>0</v>
      </c>
      <c r="E72" s="509">
        <f>IF(+I14&lt;F71,I14,D72)</f>
        <v>0</v>
      </c>
      <c r="F72" s="510">
        <f t="shared" si="6"/>
        <v>0</v>
      </c>
      <c r="G72" s="511">
        <f t="shared" si="7"/>
        <v>0</v>
      </c>
      <c r="H72" s="477">
        <f t="shared" si="8"/>
        <v>0</v>
      </c>
      <c r="I72" s="500">
        <f t="shared" si="0"/>
        <v>0</v>
      </c>
      <c r="J72" s="500"/>
      <c r="K72" s="512"/>
      <c r="L72" s="504">
        <f t="shared" si="9"/>
        <v>0</v>
      </c>
      <c r="M72" s="512"/>
      <c r="N72" s="504">
        <f t="shared" si="4"/>
        <v>0</v>
      </c>
      <c r="O72" s="504">
        <f t="shared" si="5"/>
        <v>0</v>
      </c>
      <c r="P72" s="278"/>
      <c r="R72" s="243"/>
      <c r="S72" s="243"/>
      <c r="T72" s="243"/>
      <c r="U72" s="243"/>
    </row>
    <row r="73" spans="2:21" ht="13.5" thickBot="1">
      <c r="C73" s="524">
        <f>IF(D11="","-",+C72+1)</f>
        <v>2072</v>
      </c>
      <c r="D73" s="527">
        <f>IF(F72+SUM(E$17:E72)=D$10,F72,D$10-SUM(E$17:E72))</f>
        <v>0</v>
      </c>
      <c r="E73" s="526">
        <f>IF(+I14&lt;F72,I14,D73)</f>
        <v>0</v>
      </c>
      <c r="F73" s="527">
        <f t="shared" si="6"/>
        <v>0</v>
      </c>
      <c r="G73" s="527">
        <f t="shared" si="7"/>
        <v>0</v>
      </c>
      <c r="H73" s="527">
        <f t="shared" si="8"/>
        <v>0</v>
      </c>
      <c r="I73" s="529">
        <f t="shared" si="0"/>
        <v>0</v>
      </c>
      <c r="J73" s="500"/>
      <c r="K73" s="530"/>
      <c r="L73" s="531">
        <f t="shared" si="9"/>
        <v>0</v>
      </c>
      <c r="M73" s="530"/>
      <c r="N73" s="531">
        <f t="shared" si="4"/>
        <v>0</v>
      </c>
      <c r="O73" s="531">
        <f t="shared" si="5"/>
        <v>0</v>
      </c>
      <c r="P73" s="278"/>
      <c r="R73" s="243"/>
      <c r="S73" s="243"/>
      <c r="T73" s="243"/>
      <c r="U73" s="243"/>
    </row>
    <row r="74" spans="2:21">
      <c r="C74" s="349" t="s">
        <v>75</v>
      </c>
      <c r="D74" s="294"/>
      <c r="E74" s="294">
        <f>SUM(E17:E73)</f>
        <v>68247469.000000015</v>
      </c>
      <c r="F74" s="294"/>
      <c r="G74" s="294">
        <f>SUM(G17:G73)</f>
        <v>198895460.50939369</v>
      </c>
      <c r="H74" s="294">
        <f>SUM(H17:H73)</f>
        <v>198895460.50939369</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438" t="str">
        <f ca="1">P1</f>
        <v>OKT Project 14 of 23</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2020</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8552229.9584809169</v>
      </c>
      <c r="N88" s="544">
        <f>IF(J93&lt;D11,0,VLOOKUP(J93,C17:O73,11))</f>
        <v>8552229.9584809169</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8805113.9847133383</v>
      </c>
      <c r="N89" s="548">
        <f>IF(J93&lt;D11,0,VLOOKUP(J93,C100:P155,7))</f>
        <v>8805113.9847133383</v>
      </c>
      <c r="O89" s="549">
        <f>+N89-M89</f>
        <v>0</v>
      </c>
      <c r="P89" s="243"/>
      <c r="Q89" s="243"/>
      <c r="R89" s="243"/>
      <c r="S89" s="243"/>
      <c r="T89" s="243"/>
      <c r="U89" s="243"/>
    </row>
    <row r="90" spans="1:21" ht="13.5" thickBot="1">
      <c r="C90" s="454" t="s">
        <v>82</v>
      </c>
      <c r="D90" s="550" t="str">
        <f>+D7</f>
        <v>Valliant-NW Texarkana 345 kV</v>
      </c>
      <c r="E90" s="243"/>
      <c r="F90" s="243"/>
      <c r="G90" s="243"/>
      <c r="H90" s="243"/>
      <c r="I90" s="325"/>
      <c r="J90" s="325"/>
      <c r="K90" s="551"/>
      <c r="L90" s="552" t="s">
        <v>135</v>
      </c>
      <c r="M90" s="553">
        <f>+M89-M88</f>
        <v>252884.0262324214</v>
      </c>
      <c r="N90" s="553">
        <f>+N89-N88</f>
        <v>252884.0262324214</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 2009089</v>
      </c>
      <c r="E92" s="558"/>
      <c r="F92" s="558"/>
      <c r="G92" s="558"/>
      <c r="H92" s="558"/>
      <c r="I92" s="558"/>
      <c r="J92" s="558"/>
      <c r="K92" s="560"/>
      <c r="P92" s="468"/>
      <c r="Q92" s="243"/>
      <c r="R92" s="243"/>
      <c r="S92" s="243"/>
      <c r="T92" s="243"/>
      <c r="U92" s="243"/>
    </row>
    <row r="93" spans="1:21">
      <c r="C93" s="472" t="s">
        <v>49</v>
      </c>
      <c r="D93" s="470">
        <v>68247469</v>
      </c>
      <c r="E93" s="248" t="s">
        <v>84</v>
      </c>
      <c r="H93" s="408"/>
      <c r="I93" s="408"/>
      <c r="J93" s="471">
        <f>+'OKT.WS.G.BPU.ATRR.True-up'!M16</f>
        <v>2020</v>
      </c>
      <c r="K93" s="467"/>
      <c r="L93" s="294" t="s">
        <v>85</v>
      </c>
      <c r="P93" s="278"/>
      <c r="Q93" s="243"/>
      <c r="R93" s="243"/>
      <c r="S93" s="243"/>
      <c r="T93" s="243"/>
      <c r="U93" s="243"/>
    </row>
    <row r="94" spans="1:21">
      <c r="C94" s="472" t="s">
        <v>52</v>
      </c>
      <c r="D94" s="561">
        <f>IF(D11=I10,"",D11)</f>
        <v>2016</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82">
        <f>IF(D11=I10,"",D12)</f>
        <v>12</v>
      </c>
      <c r="E95" s="472" t="s">
        <v>55</v>
      </c>
      <c r="F95" s="408"/>
      <c r="G95" s="408"/>
      <c r="J95" s="476">
        <f>'OKT.WS.G.BPU.ATRR.True-up'!$F$81</f>
        <v>0.11475877389767174</v>
      </c>
      <c r="K95" s="413"/>
      <c r="L95" s="145" t="s">
        <v>86</v>
      </c>
      <c r="P95" s="278"/>
      <c r="Q95" s="243"/>
      <c r="R95" s="243"/>
      <c r="S95" s="243"/>
      <c r="T95" s="243"/>
      <c r="U95" s="243"/>
    </row>
    <row r="96" spans="1:21">
      <c r="C96" s="472" t="s">
        <v>57</v>
      </c>
      <c r="D96" s="474">
        <f>'OKT.WS.G.BPU.ATRR.True-up'!F$93</f>
        <v>21</v>
      </c>
      <c r="E96" s="472" t="s">
        <v>58</v>
      </c>
      <c r="F96" s="408"/>
      <c r="G96" s="408"/>
      <c r="J96" s="476">
        <f>IF(H88="",J95,'OKT.WS.G.BPU.ATRR.True-up'!$F$80)</f>
        <v>0.11475877389767174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3249879.4761904762</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C100" s="495">
        <f>IF(D94= "","-",D94)</f>
        <v>2016</v>
      </c>
      <c r="D100" s="496">
        <v>0</v>
      </c>
      <c r="E100" s="498">
        <v>1692714.9</v>
      </c>
      <c r="F100" s="505">
        <v>67708596</v>
      </c>
      <c r="G100" s="505">
        <v>33854298</v>
      </c>
      <c r="H100" s="498">
        <v>3668771.9731289423</v>
      </c>
      <c r="I100" s="499">
        <v>3668771.9731289423</v>
      </c>
      <c r="J100" s="504">
        <f t="shared" ref="J100:J131" si="10">+I100-H100</f>
        <v>0</v>
      </c>
      <c r="K100" s="504"/>
      <c r="L100" s="606">
        <f>+H100</f>
        <v>3668771.9731289423</v>
      </c>
      <c r="M100" s="503">
        <f t="shared" ref="M100:M131" si="11">IF(L100&lt;&gt;0,+H100-L100,0)</f>
        <v>0</v>
      </c>
      <c r="N100" s="606">
        <f>+I100</f>
        <v>3668771.9731289423</v>
      </c>
      <c r="O100" s="503">
        <f t="shared" ref="O100:O131" si="12">IF(N100&lt;&gt;0,+I100-N100,0)</f>
        <v>0</v>
      </c>
      <c r="P100" s="503">
        <f t="shared" ref="P100:P131" si="13">+O100-M100</f>
        <v>0</v>
      </c>
      <c r="Q100" s="243"/>
      <c r="R100" s="243"/>
      <c r="S100" s="243"/>
      <c r="T100" s="243"/>
      <c r="U100" s="243"/>
    </row>
    <row r="101" spans="1:21">
      <c r="C101" s="495">
        <f>IF(D94="","-",+C100+1)</f>
        <v>2017</v>
      </c>
      <c r="D101" s="496">
        <v>66537373.100000001</v>
      </c>
      <c r="E101" s="498">
        <v>1705752.2</v>
      </c>
      <c r="F101" s="505">
        <v>64831620.899999999</v>
      </c>
      <c r="G101" s="505">
        <v>65684497</v>
      </c>
      <c r="H101" s="498">
        <v>9412899.4207950477</v>
      </c>
      <c r="I101" s="499">
        <v>9412899.4207950477</v>
      </c>
      <c r="J101" s="504">
        <f t="shared" si="10"/>
        <v>0</v>
      </c>
      <c r="K101" s="504"/>
      <c r="L101" s="506">
        <f>H101</f>
        <v>9412899.4207950477</v>
      </c>
      <c r="M101" s="504">
        <f>IF(L101&lt;&gt;0,+H101-L101,0)</f>
        <v>0</v>
      </c>
      <c r="N101" s="506">
        <f>I101</f>
        <v>9412899.4207950477</v>
      </c>
      <c r="O101" s="504">
        <f>IF(N101&lt;&gt;0,+I101-N101,0)</f>
        <v>0</v>
      </c>
      <c r="P101" s="504">
        <f>+O101-M101</f>
        <v>0</v>
      </c>
      <c r="Q101" s="243"/>
      <c r="R101" s="243"/>
      <c r="S101" s="243"/>
      <c r="T101" s="243"/>
      <c r="U101" s="243"/>
    </row>
    <row r="102" spans="1:21">
      <c r="C102" s="495">
        <f>IF(D94="","-",+C101+1)</f>
        <v>2018</v>
      </c>
      <c r="D102" s="496">
        <v>64831620.899999999</v>
      </c>
      <c r="E102" s="498">
        <v>1895280.2222222222</v>
      </c>
      <c r="F102" s="505">
        <v>62936340.677777775</v>
      </c>
      <c r="G102" s="505">
        <v>63883980.788888887</v>
      </c>
      <c r="H102" s="498">
        <v>8639029.6924960874</v>
      </c>
      <c r="I102" s="499">
        <v>8639029.6924960874</v>
      </c>
      <c r="J102" s="504">
        <f t="shared" si="10"/>
        <v>0</v>
      </c>
      <c r="K102" s="504"/>
      <c r="L102" s="506">
        <f>H102</f>
        <v>8639029.6924960874</v>
      </c>
      <c r="M102" s="504">
        <f>IF(L102&lt;&gt;0,+H102-L102,0)</f>
        <v>0</v>
      </c>
      <c r="N102" s="506">
        <f>I102</f>
        <v>8639029.6924960874</v>
      </c>
      <c r="O102" s="504">
        <f t="shared" si="12"/>
        <v>0</v>
      </c>
      <c r="P102" s="504">
        <f t="shared" si="13"/>
        <v>0</v>
      </c>
      <c r="Q102" s="243"/>
      <c r="R102" s="243"/>
      <c r="S102" s="243"/>
      <c r="T102" s="243"/>
      <c r="U102" s="243"/>
    </row>
    <row r="103" spans="1:21">
      <c r="C103" s="495">
        <f>IF(D94="","-",+C102+1)</f>
        <v>2019</v>
      </c>
      <c r="D103" s="496">
        <v>64646436.577777781</v>
      </c>
      <c r="E103" s="498">
        <v>1895763.0277777778</v>
      </c>
      <c r="F103" s="505">
        <v>62750673.550000004</v>
      </c>
      <c r="G103" s="505">
        <v>63698555.063888893</v>
      </c>
      <c r="H103" s="498">
        <v>8619938.5043946709</v>
      </c>
      <c r="I103" s="499">
        <v>8619938.5043946709</v>
      </c>
      <c r="J103" s="504">
        <f t="shared" si="10"/>
        <v>0</v>
      </c>
      <c r="K103" s="504"/>
      <c r="L103" s="506">
        <f>H103</f>
        <v>8619938.5043946709</v>
      </c>
      <c r="M103" s="504">
        <f>IF(L103&lt;&gt;0,+H103-L103,0)</f>
        <v>0</v>
      </c>
      <c r="N103" s="506">
        <f>I103</f>
        <v>8619938.5043946709</v>
      </c>
      <c r="O103" s="504">
        <f t="shared" si="12"/>
        <v>0</v>
      </c>
      <c r="P103" s="504">
        <f t="shared" si="13"/>
        <v>0</v>
      </c>
      <c r="Q103" s="243"/>
      <c r="R103" s="243"/>
      <c r="S103" s="243"/>
      <c r="T103" s="243"/>
      <c r="U103" s="243"/>
    </row>
    <row r="104" spans="1:21">
      <c r="C104" s="495">
        <f>IF(D94="","-",+C103+1)</f>
        <v>2020</v>
      </c>
      <c r="D104" s="496">
        <v>61057958.649999999</v>
      </c>
      <c r="E104" s="498">
        <v>2437409.6071428573</v>
      </c>
      <c r="F104" s="505">
        <v>58620549.04285714</v>
      </c>
      <c r="G104" s="505">
        <v>59839253.846428573</v>
      </c>
      <c r="H104" s="498">
        <v>8805113.9847133383</v>
      </c>
      <c r="I104" s="499">
        <v>8805113.9847133383</v>
      </c>
      <c r="J104" s="504">
        <f t="shared" si="10"/>
        <v>0</v>
      </c>
      <c r="K104" s="504"/>
      <c r="L104" s="512"/>
      <c r="M104" s="504">
        <f t="shared" si="11"/>
        <v>0</v>
      </c>
      <c r="N104" s="512"/>
      <c r="O104" s="504">
        <f t="shared" si="12"/>
        <v>0</v>
      </c>
      <c r="P104" s="504">
        <f t="shared" si="13"/>
        <v>0</v>
      </c>
      <c r="Q104" s="243"/>
      <c r="R104" s="243"/>
      <c r="S104" s="243"/>
      <c r="T104" s="243"/>
      <c r="U104" s="243"/>
    </row>
    <row r="105" spans="1:21">
      <c r="C105" s="495">
        <f>IF(D94="","-",+C104+1)</f>
        <v>2021</v>
      </c>
      <c r="D105" s="349">
        <f>IF(F104+SUM(E$100:E104)=D$93,F104,D$93-SUM(E$100:E104))</f>
        <v>58620549.04285714</v>
      </c>
      <c r="E105" s="509">
        <f>IF(+J97&lt;F104,J97,D105)</f>
        <v>3249879.4761904762</v>
      </c>
      <c r="F105" s="510">
        <f t="shared" ref="F105:F131" si="14">+D105-E105</f>
        <v>55370669.566666663</v>
      </c>
      <c r="G105" s="510">
        <f t="shared" ref="G105:G131" si="15">+(F105+D105)/2</f>
        <v>56995609.304761901</v>
      </c>
      <c r="H105" s="627">
        <f t="shared" ref="H105:H155" si="16">+J$95*G105+E105</f>
        <v>9790625.7175556831</v>
      </c>
      <c r="I105" s="628">
        <f t="shared" ref="I105:I155" si="17">+J$96*G105+E105</f>
        <v>9790625.7175556831</v>
      </c>
      <c r="J105" s="504">
        <f t="shared" si="10"/>
        <v>0</v>
      </c>
      <c r="K105" s="504"/>
      <c r="L105" s="512"/>
      <c r="M105" s="504">
        <f t="shared" si="11"/>
        <v>0</v>
      </c>
      <c r="N105" s="512"/>
      <c r="O105" s="504">
        <f t="shared" si="12"/>
        <v>0</v>
      </c>
      <c r="P105" s="504">
        <f t="shared" si="13"/>
        <v>0</v>
      </c>
      <c r="Q105" s="243"/>
      <c r="R105" s="243"/>
      <c r="S105" s="243"/>
      <c r="T105" s="243"/>
      <c r="U105" s="243"/>
    </row>
    <row r="106" spans="1:21">
      <c r="C106" s="495">
        <f>IF(D94="","-",+C105+1)</f>
        <v>2022</v>
      </c>
      <c r="D106" s="349">
        <f>IF(F105+SUM(E$100:E105)=D$93,F105,D$93-SUM(E$100:E105))</f>
        <v>55370669.566666663</v>
      </c>
      <c r="E106" s="509">
        <f>IF(+J97&lt;F105,J97,D106)</f>
        <v>3249879.4761904762</v>
      </c>
      <c r="F106" s="510">
        <f t="shared" si="14"/>
        <v>52120790.090476185</v>
      </c>
      <c r="G106" s="510">
        <f t="shared" si="15"/>
        <v>53745729.828571424</v>
      </c>
      <c r="H106" s="627">
        <f t="shared" si="16"/>
        <v>9417673.5335528553</v>
      </c>
      <c r="I106" s="628">
        <f t="shared" si="17"/>
        <v>9417673.5335528553</v>
      </c>
      <c r="J106" s="504">
        <f t="shared" si="10"/>
        <v>0</v>
      </c>
      <c r="K106" s="504"/>
      <c r="L106" s="512"/>
      <c r="M106" s="504">
        <f t="shared" si="11"/>
        <v>0</v>
      </c>
      <c r="N106" s="512"/>
      <c r="O106" s="504">
        <f t="shared" si="12"/>
        <v>0</v>
      </c>
      <c r="P106" s="504">
        <f t="shared" si="13"/>
        <v>0</v>
      </c>
      <c r="Q106" s="243"/>
      <c r="R106" s="243"/>
      <c r="S106" s="243"/>
      <c r="T106" s="243"/>
      <c r="U106" s="243"/>
    </row>
    <row r="107" spans="1:21">
      <c r="C107" s="495">
        <f>IF(D94="","-",+C106+1)</f>
        <v>2023</v>
      </c>
      <c r="D107" s="349">
        <f>IF(F106+SUM(E$100:E106)=D$93,F106,D$93-SUM(E$100:E106))</f>
        <v>52120790.090476185</v>
      </c>
      <c r="E107" s="509">
        <f>IF(+J97&lt;F106,J97,D107)</f>
        <v>3249879.4761904762</v>
      </c>
      <c r="F107" s="510">
        <f t="shared" si="14"/>
        <v>48870910.614285707</v>
      </c>
      <c r="G107" s="510">
        <f t="shared" si="15"/>
        <v>50495850.352380946</v>
      </c>
      <c r="H107" s="627">
        <f t="shared" si="16"/>
        <v>9044721.3495500293</v>
      </c>
      <c r="I107" s="628">
        <f t="shared" si="17"/>
        <v>9044721.3495500293</v>
      </c>
      <c r="J107" s="504">
        <f t="shared" si="10"/>
        <v>0</v>
      </c>
      <c r="K107" s="504"/>
      <c r="L107" s="512"/>
      <c r="M107" s="504">
        <f t="shared" si="11"/>
        <v>0</v>
      </c>
      <c r="N107" s="512"/>
      <c r="O107" s="504">
        <f t="shared" si="12"/>
        <v>0</v>
      </c>
      <c r="P107" s="504">
        <f t="shared" si="13"/>
        <v>0</v>
      </c>
      <c r="Q107" s="243"/>
      <c r="R107" s="243"/>
      <c r="S107" s="243"/>
      <c r="T107" s="243"/>
      <c r="U107" s="243"/>
    </row>
    <row r="108" spans="1:21">
      <c r="C108" s="495">
        <f>IF(D94="","-",+C107+1)</f>
        <v>2024</v>
      </c>
      <c r="D108" s="349">
        <f>IF(F107+SUM(E$100:E107)=D$93,F107,D$93-SUM(E$100:E107))</f>
        <v>48870910.614285707</v>
      </c>
      <c r="E108" s="509">
        <f>IF(+J97&lt;F107,J97,D108)</f>
        <v>3249879.4761904762</v>
      </c>
      <c r="F108" s="510">
        <f t="shared" si="14"/>
        <v>45621031.13809523</v>
      </c>
      <c r="G108" s="510">
        <f t="shared" si="15"/>
        <v>47245970.876190469</v>
      </c>
      <c r="H108" s="627">
        <f t="shared" si="16"/>
        <v>8671769.1655472014</v>
      </c>
      <c r="I108" s="628">
        <f t="shared" si="17"/>
        <v>8671769.1655472014</v>
      </c>
      <c r="J108" s="504">
        <f t="shared" si="10"/>
        <v>0</v>
      </c>
      <c r="K108" s="504"/>
      <c r="L108" s="512"/>
      <c r="M108" s="504">
        <f t="shared" si="11"/>
        <v>0</v>
      </c>
      <c r="N108" s="512"/>
      <c r="O108" s="504">
        <f t="shared" si="12"/>
        <v>0</v>
      </c>
      <c r="P108" s="504">
        <f t="shared" si="13"/>
        <v>0</v>
      </c>
      <c r="Q108" s="243"/>
      <c r="R108" s="243"/>
      <c r="S108" s="243"/>
      <c r="T108" s="243"/>
      <c r="U108" s="243"/>
    </row>
    <row r="109" spans="1:21">
      <c r="C109" s="495">
        <f>IF(D94="","-",+C108+1)</f>
        <v>2025</v>
      </c>
      <c r="D109" s="349">
        <f>IF(F108+SUM(E$100:E108)=D$93,F108,D$93-SUM(E$100:E108))</f>
        <v>45621031.13809523</v>
      </c>
      <c r="E109" s="509">
        <f>IF(+J97&lt;F108,J97,D109)</f>
        <v>3249879.4761904762</v>
      </c>
      <c r="F109" s="510">
        <f t="shared" si="14"/>
        <v>42371151.661904752</v>
      </c>
      <c r="G109" s="510">
        <f t="shared" si="15"/>
        <v>43996091.399999991</v>
      </c>
      <c r="H109" s="627">
        <f t="shared" si="16"/>
        <v>8298816.9815443754</v>
      </c>
      <c r="I109" s="628">
        <f t="shared" si="17"/>
        <v>8298816.9815443754</v>
      </c>
      <c r="J109" s="504">
        <f t="shared" si="10"/>
        <v>0</v>
      </c>
      <c r="K109" s="504"/>
      <c r="L109" s="512"/>
      <c r="M109" s="504">
        <f t="shared" si="11"/>
        <v>0</v>
      </c>
      <c r="N109" s="512"/>
      <c r="O109" s="504">
        <f t="shared" si="12"/>
        <v>0</v>
      </c>
      <c r="P109" s="504">
        <f t="shared" si="13"/>
        <v>0</v>
      </c>
      <c r="Q109" s="243"/>
      <c r="R109" s="243"/>
      <c r="S109" s="243"/>
      <c r="T109" s="243"/>
      <c r="U109" s="243"/>
    </row>
    <row r="110" spans="1:21">
      <c r="C110" s="495">
        <f>IF(D94="","-",+C109+1)</f>
        <v>2026</v>
      </c>
      <c r="D110" s="349">
        <f>IF(F109+SUM(E$100:E109)=D$93,F109,D$93-SUM(E$100:E109))</f>
        <v>42371151.661904752</v>
      </c>
      <c r="E110" s="509">
        <f>IF(+J97&lt;F109,J97,D110)</f>
        <v>3249879.4761904762</v>
      </c>
      <c r="F110" s="510">
        <f t="shared" si="14"/>
        <v>39121272.185714275</v>
      </c>
      <c r="G110" s="510">
        <f t="shared" si="15"/>
        <v>40746211.923809513</v>
      </c>
      <c r="H110" s="627">
        <f t="shared" si="16"/>
        <v>7925864.7975415476</v>
      </c>
      <c r="I110" s="628">
        <f t="shared" si="17"/>
        <v>7925864.7975415476</v>
      </c>
      <c r="J110" s="504">
        <f t="shared" si="10"/>
        <v>0</v>
      </c>
      <c r="K110" s="504"/>
      <c r="L110" s="512"/>
      <c r="M110" s="504">
        <f t="shared" si="11"/>
        <v>0</v>
      </c>
      <c r="N110" s="512"/>
      <c r="O110" s="504">
        <f t="shared" si="12"/>
        <v>0</v>
      </c>
      <c r="P110" s="504">
        <f t="shared" si="13"/>
        <v>0</v>
      </c>
      <c r="Q110" s="243"/>
      <c r="R110" s="243"/>
      <c r="S110" s="243"/>
      <c r="T110" s="243"/>
      <c r="U110" s="243"/>
    </row>
    <row r="111" spans="1:21">
      <c r="C111" s="495">
        <f>IF(D94="","-",+C110+1)</f>
        <v>2027</v>
      </c>
      <c r="D111" s="349">
        <f>IF(F110+SUM(E$100:E110)=D$93,F110,D$93-SUM(E$100:E110))</f>
        <v>39121272.185714275</v>
      </c>
      <c r="E111" s="509">
        <f>IF(+J97&lt;F110,J97,D111)</f>
        <v>3249879.4761904762</v>
      </c>
      <c r="F111" s="510">
        <f t="shared" si="14"/>
        <v>35871392.709523797</v>
      </c>
      <c r="G111" s="510">
        <f t="shared" si="15"/>
        <v>37496332.447619036</v>
      </c>
      <c r="H111" s="627">
        <f t="shared" si="16"/>
        <v>7552912.6135387216</v>
      </c>
      <c r="I111" s="628">
        <f t="shared" si="17"/>
        <v>7552912.6135387216</v>
      </c>
      <c r="J111" s="504">
        <f t="shared" si="10"/>
        <v>0</v>
      </c>
      <c r="K111" s="504"/>
      <c r="L111" s="512"/>
      <c r="M111" s="504">
        <f t="shared" si="11"/>
        <v>0</v>
      </c>
      <c r="N111" s="512"/>
      <c r="O111" s="504">
        <f t="shared" si="12"/>
        <v>0</v>
      </c>
      <c r="P111" s="504">
        <f t="shared" si="13"/>
        <v>0</v>
      </c>
      <c r="Q111" s="243"/>
      <c r="R111" s="243"/>
      <c r="S111" s="243"/>
      <c r="T111" s="243"/>
      <c r="U111" s="243"/>
    </row>
    <row r="112" spans="1:21">
      <c r="C112" s="495">
        <f>IF(D94="","-",+C111+1)</f>
        <v>2028</v>
      </c>
      <c r="D112" s="349">
        <f>IF(F111+SUM(E$100:E111)=D$93,F111,D$93-SUM(E$100:E111))</f>
        <v>35871392.709523797</v>
      </c>
      <c r="E112" s="509">
        <f>IF(+J97&lt;F111,J97,D112)</f>
        <v>3249879.4761904762</v>
      </c>
      <c r="F112" s="510">
        <f t="shared" si="14"/>
        <v>32621513.233333319</v>
      </c>
      <c r="G112" s="510">
        <f t="shared" si="15"/>
        <v>34246452.971428558</v>
      </c>
      <c r="H112" s="627">
        <f t="shared" si="16"/>
        <v>7179960.4295358947</v>
      </c>
      <c r="I112" s="628">
        <f t="shared" si="17"/>
        <v>7179960.4295358947</v>
      </c>
      <c r="J112" s="504">
        <f t="shared" si="10"/>
        <v>0</v>
      </c>
      <c r="K112" s="504"/>
      <c r="L112" s="512"/>
      <c r="M112" s="504">
        <f t="shared" si="11"/>
        <v>0</v>
      </c>
      <c r="N112" s="512"/>
      <c r="O112" s="504">
        <f t="shared" si="12"/>
        <v>0</v>
      </c>
      <c r="P112" s="504">
        <f t="shared" si="13"/>
        <v>0</v>
      </c>
      <c r="Q112" s="243"/>
      <c r="R112" s="243"/>
      <c r="S112" s="243"/>
      <c r="T112" s="243"/>
      <c r="U112" s="243"/>
    </row>
    <row r="113" spans="3:21">
      <c r="C113" s="495">
        <f>IF(D94="","-",+C112+1)</f>
        <v>2029</v>
      </c>
      <c r="D113" s="349">
        <f>IF(F112+SUM(E$100:E112)=D$93,F112,D$93-SUM(E$100:E112))</f>
        <v>32621513.233333319</v>
      </c>
      <c r="E113" s="509">
        <f>IF(+J97&lt;F112,J97,D113)</f>
        <v>3249879.4761904762</v>
      </c>
      <c r="F113" s="510">
        <f t="shared" si="14"/>
        <v>29371633.757142842</v>
      </c>
      <c r="G113" s="510">
        <f t="shared" si="15"/>
        <v>30996573.495238081</v>
      </c>
      <c r="H113" s="627">
        <f t="shared" si="16"/>
        <v>6807008.2455330677</v>
      </c>
      <c r="I113" s="628">
        <f t="shared" si="17"/>
        <v>6807008.2455330677</v>
      </c>
      <c r="J113" s="504">
        <f t="shared" si="10"/>
        <v>0</v>
      </c>
      <c r="K113" s="504"/>
      <c r="L113" s="512"/>
      <c r="M113" s="504">
        <f t="shared" si="11"/>
        <v>0</v>
      </c>
      <c r="N113" s="512"/>
      <c r="O113" s="504">
        <f t="shared" si="12"/>
        <v>0</v>
      </c>
      <c r="P113" s="504">
        <f t="shared" si="13"/>
        <v>0</v>
      </c>
      <c r="Q113" s="243"/>
      <c r="R113" s="243"/>
      <c r="S113" s="243"/>
      <c r="T113" s="243"/>
      <c r="U113" s="243"/>
    </row>
    <row r="114" spans="3:21">
      <c r="C114" s="495">
        <f>IF(D94="","-",+C113+1)</f>
        <v>2030</v>
      </c>
      <c r="D114" s="349">
        <f>IF(F113+SUM(E$100:E113)=D$93,F113,D$93-SUM(E$100:E113))</f>
        <v>29371633.757142842</v>
      </c>
      <c r="E114" s="509">
        <f>IF(+J97&lt;F113,J97,D114)</f>
        <v>3249879.4761904762</v>
      </c>
      <c r="F114" s="510">
        <f t="shared" si="14"/>
        <v>26121754.280952364</v>
      </c>
      <c r="G114" s="510">
        <f t="shared" si="15"/>
        <v>27746694.019047603</v>
      </c>
      <c r="H114" s="627">
        <f t="shared" si="16"/>
        <v>6434056.0615302408</v>
      </c>
      <c r="I114" s="628">
        <f t="shared" si="17"/>
        <v>6434056.0615302408</v>
      </c>
      <c r="J114" s="504">
        <f t="shared" si="10"/>
        <v>0</v>
      </c>
      <c r="K114" s="504"/>
      <c r="L114" s="512"/>
      <c r="M114" s="504">
        <f t="shared" si="11"/>
        <v>0</v>
      </c>
      <c r="N114" s="512"/>
      <c r="O114" s="504">
        <f t="shared" si="12"/>
        <v>0</v>
      </c>
      <c r="P114" s="504">
        <f t="shared" si="13"/>
        <v>0</v>
      </c>
      <c r="Q114" s="243"/>
      <c r="R114" s="243"/>
      <c r="S114" s="243"/>
      <c r="T114" s="243"/>
      <c r="U114" s="243"/>
    </row>
    <row r="115" spans="3:21">
      <c r="C115" s="495">
        <f>IF(D94="","-",+C114+1)</f>
        <v>2031</v>
      </c>
      <c r="D115" s="349">
        <f>IF(F114+SUM(E$100:E114)=D$93,F114,D$93-SUM(E$100:E114))</f>
        <v>26121754.280952364</v>
      </c>
      <c r="E115" s="509">
        <f>IF(+J97&lt;F114,J97,D115)</f>
        <v>3249879.4761904762</v>
      </c>
      <c r="F115" s="510">
        <f t="shared" si="14"/>
        <v>22871874.804761887</v>
      </c>
      <c r="G115" s="510">
        <f t="shared" si="15"/>
        <v>24496814.542857125</v>
      </c>
      <c r="H115" s="627">
        <f t="shared" si="16"/>
        <v>6061103.8775274139</v>
      </c>
      <c r="I115" s="628">
        <f t="shared" si="17"/>
        <v>6061103.8775274139</v>
      </c>
      <c r="J115" s="504">
        <f t="shared" si="10"/>
        <v>0</v>
      </c>
      <c r="K115" s="504"/>
      <c r="L115" s="512"/>
      <c r="M115" s="504">
        <f t="shared" si="11"/>
        <v>0</v>
      </c>
      <c r="N115" s="512"/>
      <c r="O115" s="504">
        <f t="shared" si="12"/>
        <v>0</v>
      </c>
      <c r="P115" s="504">
        <f t="shared" si="13"/>
        <v>0</v>
      </c>
      <c r="Q115" s="243"/>
      <c r="R115" s="243"/>
      <c r="S115" s="243"/>
      <c r="T115" s="243"/>
      <c r="U115" s="243"/>
    </row>
    <row r="116" spans="3:21">
      <c r="C116" s="495">
        <f>IF(D94="","-",+C115+1)</f>
        <v>2032</v>
      </c>
      <c r="D116" s="349">
        <f>IF(F115+SUM(E$100:E115)=D$93,F115,D$93-SUM(E$100:E115))</f>
        <v>22871874.804761887</v>
      </c>
      <c r="E116" s="509">
        <f>IF(+J97&lt;F115,J97,D116)</f>
        <v>3249879.4761904762</v>
      </c>
      <c r="F116" s="510">
        <f t="shared" si="14"/>
        <v>19621995.328571409</v>
      </c>
      <c r="G116" s="510">
        <f t="shared" si="15"/>
        <v>21246935.066666648</v>
      </c>
      <c r="H116" s="627">
        <f t="shared" si="16"/>
        <v>5688151.693524587</v>
      </c>
      <c r="I116" s="628">
        <f t="shared" si="17"/>
        <v>5688151.693524587</v>
      </c>
      <c r="J116" s="504">
        <f t="shared" si="10"/>
        <v>0</v>
      </c>
      <c r="K116" s="504"/>
      <c r="L116" s="512"/>
      <c r="M116" s="504">
        <f t="shared" si="11"/>
        <v>0</v>
      </c>
      <c r="N116" s="512"/>
      <c r="O116" s="504">
        <f t="shared" si="12"/>
        <v>0</v>
      </c>
      <c r="P116" s="504">
        <f t="shared" si="13"/>
        <v>0</v>
      </c>
      <c r="Q116" s="243"/>
      <c r="R116" s="243"/>
      <c r="S116" s="243"/>
      <c r="T116" s="243"/>
      <c r="U116" s="243"/>
    </row>
    <row r="117" spans="3:21">
      <c r="C117" s="495">
        <f>IF(D94="","-",+C116+1)</f>
        <v>2033</v>
      </c>
      <c r="D117" s="349">
        <f>IF(F116+SUM(E$100:E116)=D$93,F116,D$93-SUM(E$100:E116))</f>
        <v>19621995.328571409</v>
      </c>
      <c r="E117" s="509">
        <f>IF(+J97&lt;F116,J97,D117)</f>
        <v>3249879.4761904762</v>
      </c>
      <c r="F117" s="510">
        <f t="shared" si="14"/>
        <v>16372115.852380933</v>
      </c>
      <c r="G117" s="510">
        <f t="shared" si="15"/>
        <v>17997055.59047617</v>
      </c>
      <c r="H117" s="627">
        <f t="shared" si="16"/>
        <v>5315199.50952176</v>
      </c>
      <c r="I117" s="628">
        <f t="shared" si="17"/>
        <v>5315199.50952176</v>
      </c>
      <c r="J117" s="504">
        <f t="shared" si="10"/>
        <v>0</v>
      </c>
      <c r="K117" s="504"/>
      <c r="L117" s="512"/>
      <c r="M117" s="504">
        <f t="shared" si="11"/>
        <v>0</v>
      </c>
      <c r="N117" s="512"/>
      <c r="O117" s="504">
        <f t="shared" si="12"/>
        <v>0</v>
      </c>
      <c r="P117" s="504">
        <f t="shared" si="13"/>
        <v>0</v>
      </c>
      <c r="Q117" s="243"/>
      <c r="R117" s="243"/>
      <c r="S117" s="243"/>
      <c r="T117" s="243"/>
      <c r="U117" s="243"/>
    </row>
    <row r="118" spans="3:21">
      <c r="C118" s="495">
        <f>IF(D94="","-",+C117+1)</f>
        <v>2034</v>
      </c>
      <c r="D118" s="349">
        <f>IF(F117+SUM(E$100:E117)=D$93,F117,D$93-SUM(E$100:E117))</f>
        <v>16372115.852380933</v>
      </c>
      <c r="E118" s="509">
        <f>IF(+J97&lt;F117,J97,D118)</f>
        <v>3249879.4761904762</v>
      </c>
      <c r="F118" s="510">
        <f t="shared" si="14"/>
        <v>13122236.376190457</v>
      </c>
      <c r="G118" s="510">
        <f t="shared" si="15"/>
        <v>14747176.114285696</v>
      </c>
      <c r="H118" s="627">
        <f t="shared" si="16"/>
        <v>4942247.3255189341</v>
      </c>
      <c r="I118" s="628">
        <f t="shared" si="17"/>
        <v>4942247.3255189341</v>
      </c>
      <c r="J118" s="504">
        <f t="shared" si="10"/>
        <v>0</v>
      </c>
      <c r="K118" s="504"/>
      <c r="L118" s="512"/>
      <c r="M118" s="504">
        <f t="shared" si="11"/>
        <v>0</v>
      </c>
      <c r="N118" s="512"/>
      <c r="O118" s="504">
        <f t="shared" si="12"/>
        <v>0</v>
      </c>
      <c r="P118" s="504">
        <f t="shared" si="13"/>
        <v>0</v>
      </c>
      <c r="Q118" s="243"/>
      <c r="R118" s="243"/>
      <c r="S118" s="243"/>
      <c r="T118" s="243"/>
      <c r="U118" s="243"/>
    </row>
    <row r="119" spans="3:21">
      <c r="C119" s="495">
        <f>IF(D94="","-",+C118+1)</f>
        <v>2035</v>
      </c>
      <c r="D119" s="349">
        <f>IF(F118+SUM(E$100:E118)=D$93,F118,D$93-SUM(E$100:E118))</f>
        <v>13122236.376190457</v>
      </c>
      <c r="E119" s="509">
        <f>IF(+J97&lt;F118,J97,D119)</f>
        <v>3249879.4761904762</v>
      </c>
      <c r="F119" s="510">
        <f t="shared" si="14"/>
        <v>9872356.8999999817</v>
      </c>
      <c r="G119" s="510">
        <f t="shared" si="15"/>
        <v>11497296.638095219</v>
      </c>
      <c r="H119" s="627">
        <f t="shared" si="16"/>
        <v>4569295.1415161071</v>
      </c>
      <c r="I119" s="628">
        <f t="shared" si="17"/>
        <v>4569295.1415161071</v>
      </c>
      <c r="J119" s="504">
        <f t="shared" si="10"/>
        <v>0</v>
      </c>
      <c r="K119" s="504"/>
      <c r="L119" s="512"/>
      <c r="M119" s="504">
        <f t="shared" si="11"/>
        <v>0</v>
      </c>
      <c r="N119" s="512"/>
      <c r="O119" s="504">
        <f t="shared" si="12"/>
        <v>0</v>
      </c>
      <c r="P119" s="504">
        <f t="shared" si="13"/>
        <v>0</v>
      </c>
      <c r="Q119" s="243"/>
      <c r="R119" s="243"/>
      <c r="S119" s="243"/>
      <c r="T119" s="243"/>
      <c r="U119" s="243"/>
    </row>
    <row r="120" spans="3:21">
      <c r="C120" s="495">
        <f>IF(D94="","-",+C119+1)</f>
        <v>2036</v>
      </c>
      <c r="D120" s="349">
        <f>IF(F119+SUM(E$100:E119)=D$93,F119,D$93-SUM(E$100:E119))</f>
        <v>9872356.8999999817</v>
      </c>
      <c r="E120" s="509">
        <f>IF(+J97&lt;F119,J97,D120)</f>
        <v>3249879.4761904762</v>
      </c>
      <c r="F120" s="510">
        <f t="shared" si="14"/>
        <v>6622477.423809506</v>
      </c>
      <c r="G120" s="510">
        <f t="shared" si="15"/>
        <v>8247417.1619047439</v>
      </c>
      <c r="H120" s="627">
        <f t="shared" si="16"/>
        <v>4196342.9575132802</v>
      </c>
      <c r="I120" s="628">
        <f t="shared" si="17"/>
        <v>4196342.9575132802</v>
      </c>
      <c r="J120" s="504">
        <f t="shared" si="10"/>
        <v>0</v>
      </c>
      <c r="K120" s="504"/>
      <c r="L120" s="512"/>
      <c r="M120" s="504">
        <f t="shared" si="11"/>
        <v>0</v>
      </c>
      <c r="N120" s="512"/>
      <c r="O120" s="504">
        <f t="shared" si="12"/>
        <v>0</v>
      </c>
      <c r="P120" s="504">
        <f t="shared" si="13"/>
        <v>0</v>
      </c>
      <c r="Q120" s="243"/>
      <c r="R120" s="243"/>
      <c r="S120" s="243"/>
      <c r="T120" s="243"/>
      <c r="U120" s="243"/>
    </row>
    <row r="121" spans="3:21">
      <c r="C121" s="495">
        <f>IF(D94="","-",+C120+1)</f>
        <v>2037</v>
      </c>
      <c r="D121" s="349">
        <f>IF(F120+SUM(E$100:E120)=D$93,F120,D$93-SUM(E$100:E120))</f>
        <v>6622477.423809506</v>
      </c>
      <c r="E121" s="509">
        <f>IF(+J97&lt;F120,J97,D121)</f>
        <v>3249879.4761904762</v>
      </c>
      <c r="F121" s="510">
        <f t="shared" si="14"/>
        <v>3372597.9476190298</v>
      </c>
      <c r="G121" s="510">
        <f t="shared" si="15"/>
        <v>4997537.6857142681</v>
      </c>
      <c r="H121" s="627">
        <f t="shared" si="16"/>
        <v>3823390.7735104538</v>
      </c>
      <c r="I121" s="628">
        <f t="shared" si="17"/>
        <v>3823390.7735104538</v>
      </c>
      <c r="J121" s="504">
        <f t="shared" si="10"/>
        <v>0</v>
      </c>
      <c r="K121" s="504"/>
      <c r="L121" s="512"/>
      <c r="M121" s="504">
        <f t="shared" si="11"/>
        <v>0</v>
      </c>
      <c r="N121" s="512"/>
      <c r="O121" s="504">
        <f t="shared" si="12"/>
        <v>0</v>
      </c>
      <c r="P121" s="504">
        <f t="shared" si="13"/>
        <v>0</v>
      </c>
      <c r="Q121" s="243"/>
      <c r="R121" s="243"/>
      <c r="S121" s="243"/>
      <c r="T121" s="243"/>
      <c r="U121" s="243"/>
    </row>
    <row r="122" spans="3:21">
      <c r="C122" s="495">
        <f>IF(D94="","-",+C121+1)</f>
        <v>2038</v>
      </c>
      <c r="D122" s="349">
        <f>IF(F121+SUM(E$100:E121)=D$93,F121,D$93-SUM(E$100:E121))</f>
        <v>3372597.9476190298</v>
      </c>
      <c r="E122" s="509">
        <f>IF(+J97&lt;F121,J97,D122)</f>
        <v>3249879.4761904762</v>
      </c>
      <c r="F122" s="510">
        <f t="shared" si="14"/>
        <v>122718.47142855357</v>
      </c>
      <c r="G122" s="510">
        <f t="shared" si="15"/>
        <v>1747658.2095237917</v>
      </c>
      <c r="H122" s="627">
        <f t="shared" si="16"/>
        <v>3450438.5895076268</v>
      </c>
      <c r="I122" s="628">
        <f t="shared" si="17"/>
        <v>3450438.5895076268</v>
      </c>
      <c r="J122" s="504">
        <f t="shared" si="10"/>
        <v>0</v>
      </c>
      <c r="K122" s="504"/>
      <c r="L122" s="512"/>
      <c r="M122" s="504">
        <f t="shared" si="11"/>
        <v>0</v>
      </c>
      <c r="N122" s="512"/>
      <c r="O122" s="504">
        <f t="shared" si="12"/>
        <v>0</v>
      </c>
      <c r="P122" s="504">
        <f t="shared" si="13"/>
        <v>0</v>
      </c>
      <c r="Q122" s="243"/>
      <c r="R122" s="243"/>
      <c r="S122" s="243"/>
      <c r="T122" s="243"/>
      <c r="U122" s="243"/>
    </row>
    <row r="123" spans="3:21">
      <c r="C123" s="495">
        <f>IF(D94="","-",+C122+1)</f>
        <v>2039</v>
      </c>
      <c r="D123" s="349">
        <f>IF(F122+SUM(E$100:E122)=D$93,F122,D$93-SUM(E$100:E122))</f>
        <v>122718.47142855357</v>
      </c>
      <c r="E123" s="509">
        <f>IF(+J97&lt;F122,J97,D123)</f>
        <v>122718.47142855357</v>
      </c>
      <c r="F123" s="510">
        <f t="shared" si="14"/>
        <v>0</v>
      </c>
      <c r="G123" s="510">
        <f t="shared" si="15"/>
        <v>61359.235714276787</v>
      </c>
      <c r="H123" s="627">
        <f t="shared" si="16"/>
        <v>129759.98208642221</v>
      </c>
      <c r="I123" s="628">
        <f t="shared" si="17"/>
        <v>129759.98208642221</v>
      </c>
      <c r="J123" s="504">
        <f t="shared" si="10"/>
        <v>0</v>
      </c>
      <c r="K123" s="504"/>
      <c r="L123" s="512"/>
      <c r="M123" s="504">
        <f t="shared" si="11"/>
        <v>0</v>
      </c>
      <c r="N123" s="512"/>
      <c r="O123" s="504">
        <f t="shared" si="12"/>
        <v>0</v>
      </c>
      <c r="P123" s="504">
        <f t="shared" si="13"/>
        <v>0</v>
      </c>
      <c r="Q123" s="243"/>
      <c r="R123" s="243"/>
      <c r="S123" s="243"/>
      <c r="T123" s="243"/>
      <c r="U123" s="243"/>
    </row>
    <row r="124" spans="3:21">
      <c r="C124" s="495">
        <f>IF(D94="","-",+C123+1)</f>
        <v>2040</v>
      </c>
      <c r="D124" s="349">
        <f>IF(F123+SUM(E$100:E123)=D$93,F123,D$93-SUM(E$100:E123))</f>
        <v>0</v>
      </c>
      <c r="E124" s="509">
        <f>IF(+J97&lt;F123,J97,D124)</f>
        <v>0</v>
      </c>
      <c r="F124" s="510">
        <f t="shared" si="14"/>
        <v>0</v>
      </c>
      <c r="G124" s="510">
        <f t="shared" si="15"/>
        <v>0</v>
      </c>
      <c r="H124" s="627">
        <f t="shared" si="16"/>
        <v>0</v>
      </c>
      <c r="I124" s="628">
        <f t="shared" si="17"/>
        <v>0</v>
      </c>
      <c r="J124" s="504">
        <f t="shared" si="10"/>
        <v>0</v>
      </c>
      <c r="K124" s="504"/>
      <c r="L124" s="512"/>
      <c r="M124" s="504">
        <f t="shared" si="11"/>
        <v>0</v>
      </c>
      <c r="N124" s="512"/>
      <c r="O124" s="504">
        <f t="shared" si="12"/>
        <v>0</v>
      </c>
      <c r="P124" s="504">
        <f t="shared" si="13"/>
        <v>0</v>
      </c>
      <c r="Q124" s="243"/>
      <c r="R124" s="243"/>
      <c r="S124" s="243"/>
      <c r="T124" s="243"/>
      <c r="U124" s="243"/>
    </row>
    <row r="125" spans="3:21">
      <c r="C125" s="495">
        <f>IF(D94="","-",+C124+1)</f>
        <v>2041</v>
      </c>
      <c r="D125" s="349">
        <f>IF(F124+SUM(E$100:E124)=D$93,F124,D$93-SUM(E$100:E124))</f>
        <v>0</v>
      </c>
      <c r="E125" s="509">
        <f>IF(+J97&lt;F124,J97,D125)</f>
        <v>0</v>
      </c>
      <c r="F125" s="510">
        <f t="shared" si="14"/>
        <v>0</v>
      </c>
      <c r="G125" s="510">
        <f t="shared" si="15"/>
        <v>0</v>
      </c>
      <c r="H125" s="627">
        <f t="shared" si="16"/>
        <v>0</v>
      </c>
      <c r="I125" s="628">
        <f t="shared" si="17"/>
        <v>0</v>
      </c>
      <c r="J125" s="504">
        <f t="shared" si="10"/>
        <v>0</v>
      </c>
      <c r="K125" s="504"/>
      <c r="L125" s="512"/>
      <c r="M125" s="504">
        <f t="shared" si="11"/>
        <v>0</v>
      </c>
      <c r="N125" s="512"/>
      <c r="O125" s="504">
        <f t="shared" si="12"/>
        <v>0</v>
      </c>
      <c r="P125" s="504">
        <f t="shared" si="13"/>
        <v>0</v>
      </c>
      <c r="Q125" s="243"/>
      <c r="R125" s="243"/>
      <c r="S125" s="243"/>
      <c r="T125" s="243"/>
      <c r="U125" s="243"/>
    </row>
    <row r="126" spans="3:21">
      <c r="C126" s="495">
        <f>IF(D94="","-",+C125+1)</f>
        <v>2042</v>
      </c>
      <c r="D126" s="349">
        <f>IF(F125+SUM(E$100:E125)=D$93,F125,D$93-SUM(E$100:E125))</f>
        <v>0</v>
      </c>
      <c r="E126" s="509">
        <f>IF(+J97&lt;F125,J97,D126)</f>
        <v>0</v>
      </c>
      <c r="F126" s="510">
        <f t="shared" si="14"/>
        <v>0</v>
      </c>
      <c r="G126" s="510">
        <f t="shared" si="15"/>
        <v>0</v>
      </c>
      <c r="H126" s="627">
        <f t="shared" si="16"/>
        <v>0</v>
      </c>
      <c r="I126" s="628">
        <f t="shared" si="17"/>
        <v>0</v>
      </c>
      <c r="J126" s="504">
        <f t="shared" si="10"/>
        <v>0</v>
      </c>
      <c r="K126" s="504"/>
      <c r="L126" s="512"/>
      <c r="M126" s="504">
        <f t="shared" si="11"/>
        <v>0</v>
      </c>
      <c r="N126" s="512"/>
      <c r="O126" s="504">
        <f t="shared" si="12"/>
        <v>0</v>
      </c>
      <c r="P126" s="504">
        <f t="shared" si="13"/>
        <v>0</v>
      </c>
      <c r="Q126" s="243"/>
      <c r="R126" s="243"/>
      <c r="S126" s="243"/>
      <c r="T126" s="243"/>
      <c r="U126" s="243"/>
    </row>
    <row r="127" spans="3:21">
      <c r="C127" s="495">
        <f>IF(D94="","-",+C126+1)</f>
        <v>2043</v>
      </c>
      <c r="D127" s="349">
        <f>IF(F126+SUM(E$100:E126)=D$93,F126,D$93-SUM(E$100:E126))</f>
        <v>0</v>
      </c>
      <c r="E127" s="509">
        <f>IF(+J97&lt;F126,J97,D127)</f>
        <v>0</v>
      </c>
      <c r="F127" s="510">
        <f t="shared" si="14"/>
        <v>0</v>
      </c>
      <c r="G127" s="510">
        <f t="shared" si="15"/>
        <v>0</v>
      </c>
      <c r="H127" s="627">
        <f t="shared" si="16"/>
        <v>0</v>
      </c>
      <c r="I127" s="628">
        <f t="shared" si="17"/>
        <v>0</v>
      </c>
      <c r="J127" s="504">
        <f t="shared" si="10"/>
        <v>0</v>
      </c>
      <c r="K127" s="504"/>
      <c r="L127" s="512"/>
      <c r="M127" s="504">
        <f t="shared" si="11"/>
        <v>0</v>
      </c>
      <c r="N127" s="512"/>
      <c r="O127" s="504">
        <f t="shared" si="12"/>
        <v>0</v>
      </c>
      <c r="P127" s="504">
        <f t="shared" si="13"/>
        <v>0</v>
      </c>
      <c r="Q127" s="243"/>
      <c r="R127" s="243"/>
      <c r="S127" s="243"/>
      <c r="T127" s="243"/>
      <c r="U127" s="243"/>
    </row>
    <row r="128" spans="3:21">
      <c r="C128" s="495">
        <f>IF(D94="","-",+C127+1)</f>
        <v>2044</v>
      </c>
      <c r="D128" s="349">
        <f>IF(F127+SUM(E$100:E127)=D$93,F127,D$93-SUM(E$100:E127))</f>
        <v>0</v>
      </c>
      <c r="E128" s="509">
        <f>IF(+J97&lt;F127,J97,D128)</f>
        <v>0</v>
      </c>
      <c r="F128" s="510">
        <f t="shared" si="14"/>
        <v>0</v>
      </c>
      <c r="G128" s="510">
        <f t="shared" si="15"/>
        <v>0</v>
      </c>
      <c r="H128" s="627">
        <f t="shared" si="16"/>
        <v>0</v>
      </c>
      <c r="I128" s="628">
        <f t="shared" si="17"/>
        <v>0</v>
      </c>
      <c r="J128" s="504">
        <f t="shared" si="10"/>
        <v>0</v>
      </c>
      <c r="K128" s="504"/>
      <c r="L128" s="512"/>
      <c r="M128" s="504">
        <f t="shared" si="11"/>
        <v>0</v>
      </c>
      <c r="N128" s="512"/>
      <c r="O128" s="504">
        <f t="shared" si="12"/>
        <v>0</v>
      </c>
      <c r="P128" s="504">
        <f t="shared" si="13"/>
        <v>0</v>
      </c>
      <c r="Q128" s="243"/>
      <c r="R128" s="243"/>
      <c r="S128" s="243"/>
      <c r="T128" s="243"/>
      <c r="U128" s="243"/>
    </row>
    <row r="129" spans="3:21">
      <c r="C129" s="495">
        <f>IF(D94="","-",+C128+1)</f>
        <v>2045</v>
      </c>
      <c r="D129" s="349">
        <f>IF(F128+SUM(E$100:E128)=D$93,F128,D$93-SUM(E$100:E128))</f>
        <v>0</v>
      </c>
      <c r="E129" s="509">
        <f>IF(+J97&lt;F128,J97,D129)</f>
        <v>0</v>
      </c>
      <c r="F129" s="510">
        <f t="shared" si="14"/>
        <v>0</v>
      </c>
      <c r="G129" s="510">
        <f t="shared" si="15"/>
        <v>0</v>
      </c>
      <c r="H129" s="627">
        <f t="shared" si="16"/>
        <v>0</v>
      </c>
      <c r="I129" s="628">
        <f t="shared" si="17"/>
        <v>0</v>
      </c>
      <c r="J129" s="504">
        <f t="shared" si="10"/>
        <v>0</v>
      </c>
      <c r="K129" s="504"/>
      <c r="L129" s="512"/>
      <c r="M129" s="504">
        <f t="shared" si="11"/>
        <v>0</v>
      </c>
      <c r="N129" s="512"/>
      <c r="O129" s="504">
        <f t="shared" si="12"/>
        <v>0</v>
      </c>
      <c r="P129" s="504">
        <f t="shared" si="13"/>
        <v>0</v>
      </c>
      <c r="Q129" s="243"/>
      <c r="R129" s="243"/>
      <c r="S129" s="243"/>
      <c r="T129" s="243"/>
      <c r="U129" s="243"/>
    </row>
    <row r="130" spans="3:21">
      <c r="C130" s="495">
        <f>IF(D94="","-",+C129+1)</f>
        <v>2046</v>
      </c>
      <c r="D130" s="349">
        <f>IF(F129+SUM(E$100:E129)=D$93,F129,D$93-SUM(E$100:E129))</f>
        <v>0</v>
      </c>
      <c r="E130" s="509">
        <f>IF(+J97&lt;F129,J97,D130)</f>
        <v>0</v>
      </c>
      <c r="F130" s="510">
        <f t="shared" si="14"/>
        <v>0</v>
      </c>
      <c r="G130" s="510">
        <f t="shared" si="15"/>
        <v>0</v>
      </c>
      <c r="H130" s="627">
        <f t="shared" si="16"/>
        <v>0</v>
      </c>
      <c r="I130" s="628">
        <f t="shared" si="17"/>
        <v>0</v>
      </c>
      <c r="J130" s="504">
        <f t="shared" si="10"/>
        <v>0</v>
      </c>
      <c r="K130" s="504"/>
      <c r="L130" s="512"/>
      <c r="M130" s="504">
        <f t="shared" si="11"/>
        <v>0</v>
      </c>
      <c r="N130" s="512"/>
      <c r="O130" s="504">
        <f t="shared" si="12"/>
        <v>0</v>
      </c>
      <c r="P130" s="504">
        <f t="shared" si="13"/>
        <v>0</v>
      </c>
      <c r="Q130" s="243"/>
      <c r="R130" s="243"/>
      <c r="S130" s="243"/>
      <c r="T130" s="243"/>
      <c r="U130" s="243"/>
    </row>
    <row r="131" spans="3:21">
      <c r="C131" s="495">
        <f>IF(D94="","-",+C130+1)</f>
        <v>2047</v>
      </c>
      <c r="D131" s="349">
        <f>IF(F130+SUM(E$100:E130)=D$93,F130,D$93-SUM(E$100:E130))</f>
        <v>0</v>
      </c>
      <c r="E131" s="509">
        <f>IF(+J97&lt;F130,J97,D131)</f>
        <v>0</v>
      </c>
      <c r="F131" s="510">
        <f t="shared" si="14"/>
        <v>0</v>
      </c>
      <c r="G131" s="510">
        <f t="shared" si="15"/>
        <v>0</v>
      </c>
      <c r="H131" s="627">
        <f t="shared" si="16"/>
        <v>0</v>
      </c>
      <c r="I131" s="628">
        <f t="shared" si="17"/>
        <v>0</v>
      </c>
      <c r="J131" s="504">
        <f t="shared" si="10"/>
        <v>0</v>
      </c>
      <c r="K131" s="504"/>
      <c r="L131" s="512"/>
      <c r="M131" s="504">
        <f t="shared" si="11"/>
        <v>0</v>
      </c>
      <c r="N131" s="512"/>
      <c r="O131" s="504">
        <f t="shared" si="12"/>
        <v>0</v>
      </c>
      <c r="P131" s="504">
        <f t="shared" si="13"/>
        <v>0</v>
      </c>
      <c r="Q131" s="243"/>
      <c r="R131" s="243"/>
      <c r="S131" s="243"/>
      <c r="T131" s="243"/>
      <c r="U131" s="243"/>
    </row>
    <row r="132" spans="3:21">
      <c r="C132" s="495">
        <f>IF(D94="","-",+C131+1)</f>
        <v>2048</v>
      </c>
      <c r="D132" s="349">
        <f>IF(F131+SUM(E$100:E131)=D$93,F131,D$93-SUM(E$100:E131))</f>
        <v>0</v>
      </c>
      <c r="E132" s="509">
        <f>IF(+J97&lt;F131,J97,D132)</f>
        <v>0</v>
      </c>
      <c r="F132" s="510">
        <f t="shared" ref="F132:F155" si="18">+D132-E132</f>
        <v>0</v>
      </c>
      <c r="G132" s="510">
        <f t="shared" ref="G132:G155" si="19">+(F132+D132)/2</f>
        <v>0</v>
      </c>
      <c r="H132" s="627">
        <f t="shared" si="16"/>
        <v>0</v>
      </c>
      <c r="I132" s="628">
        <f t="shared" si="17"/>
        <v>0</v>
      </c>
      <c r="J132" s="504">
        <f t="shared" ref="J132:J155" si="20">+I542-H542</f>
        <v>0</v>
      </c>
      <c r="K132" s="504"/>
      <c r="L132" s="512"/>
      <c r="M132" s="504">
        <f t="shared" ref="M132:M155" si="21">IF(L542&lt;&gt;0,+H542-L542,0)</f>
        <v>0</v>
      </c>
      <c r="N132" s="512"/>
      <c r="O132" s="504">
        <f t="shared" ref="O132:O155" si="22">IF(N542&lt;&gt;0,+I542-N542,0)</f>
        <v>0</v>
      </c>
      <c r="P132" s="504">
        <f t="shared" ref="P132:P155" si="23">+O542-M542</f>
        <v>0</v>
      </c>
      <c r="Q132" s="243"/>
      <c r="R132" s="243"/>
      <c r="S132" s="243"/>
      <c r="T132" s="243"/>
      <c r="U132" s="243"/>
    </row>
    <row r="133" spans="3:21">
      <c r="C133" s="495">
        <f>IF(D94="","-",+C132+1)</f>
        <v>2049</v>
      </c>
      <c r="D133" s="349">
        <f>IF(F132+SUM(E$100:E132)=D$93,F132,D$93-SUM(E$100:E132))</f>
        <v>0</v>
      </c>
      <c r="E133" s="509">
        <f>IF(+J97&lt;F132,J97,D133)</f>
        <v>0</v>
      </c>
      <c r="F133" s="510">
        <f t="shared" si="18"/>
        <v>0</v>
      </c>
      <c r="G133" s="510">
        <f t="shared" si="19"/>
        <v>0</v>
      </c>
      <c r="H133" s="627">
        <f t="shared" si="16"/>
        <v>0</v>
      </c>
      <c r="I133" s="628">
        <f t="shared" si="17"/>
        <v>0</v>
      </c>
      <c r="J133" s="504">
        <f t="shared" si="20"/>
        <v>0</v>
      </c>
      <c r="K133" s="504"/>
      <c r="L133" s="512"/>
      <c r="M133" s="504">
        <f t="shared" si="21"/>
        <v>0</v>
      </c>
      <c r="N133" s="512"/>
      <c r="O133" s="504">
        <f t="shared" si="22"/>
        <v>0</v>
      </c>
      <c r="P133" s="504">
        <f t="shared" si="23"/>
        <v>0</v>
      </c>
      <c r="Q133" s="243"/>
      <c r="R133" s="243"/>
      <c r="S133" s="243"/>
      <c r="T133" s="243"/>
      <c r="U133" s="243"/>
    </row>
    <row r="134" spans="3:21">
      <c r="C134" s="495">
        <f>IF(D94="","-",+C133+1)</f>
        <v>2050</v>
      </c>
      <c r="D134" s="349">
        <f>IF(F133+SUM(E$100:E133)=D$93,F133,D$93-SUM(E$100:E133))</f>
        <v>0</v>
      </c>
      <c r="E134" s="509">
        <f>IF(+J97&lt;F133,J97,D134)</f>
        <v>0</v>
      </c>
      <c r="F134" s="510">
        <f t="shared" si="18"/>
        <v>0</v>
      </c>
      <c r="G134" s="510">
        <f t="shared" si="19"/>
        <v>0</v>
      </c>
      <c r="H134" s="627">
        <f t="shared" si="16"/>
        <v>0</v>
      </c>
      <c r="I134" s="628">
        <f t="shared" si="17"/>
        <v>0</v>
      </c>
      <c r="J134" s="504">
        <f t="shared" si="20"/>
        <v>0</v>
      </c>
      <c r="K134" s="504"/>
      <c r="L134" s="512"/>
      <c r="M134" s="504">
        <f t="shared" si="21"/>
        <v>0</v>
      </c>
      <c r="N134" s="512"/>
      <c r="O134" s="504">
        <f t="shared" si="22"/>
        <v>0</v>
      </c>
      <c r="P134" s="504">
        <f t="shared" si="23"/>
        <v>0</v>
      </c>
      <c r="Q134" s="243"/>
      <c r="R134" s="243"/>
      <c r="S134" s="243"/>
      <c r="T134" s="243"/>
      <c r="U134" s="243"/>
    </row>
    <row r="135" spans="3:21">
      <c r="C135" s="495">
        <f>IF(D94="","-",+C134+1)</f>
        <v>2051</v>
      </c>
      <c r="D135" s="349">
        <f>IF(F134+SUM(E$100:E134)=D$93,F134,D$93-SUM(E$100:E134))</f>
        <v>0</v>
      </c>
      <c r="E135" s="509">
        <f>IF(+J97&lt;F134,J97,D135)</f>
        <v>0</v>
      </c>
      <c r="F135" s="510">
        <f t="shared" si="18"/>
        <v>0</v>
      </c>
      <c r="G135" s="510">
        <f t="shared" si="19"/>
        <v>0</v>
      </c>
      <c r="H135" s="627">
        <f t="shared" si="16"/>
        <v>0</v>
      </c>
      <c r="I135" s="628">
        <f t="shared" si="17"/>
        <v>0</v>
      </c>
      <c r="J135" s="504">
        <f t="shared" si="20"/>
        <v>0</v>
      </c>
      <c r="K135" s="504"/>
      <c r="L135" s="512"/>
      <c r="M135" s="504">
        <f t="shared" si="21"/>
        <v>0</v>
      </c>
      <c r="N135" s="512"/>
      <c r="O135" s="504">
        <f t="shared" si="22"/>
        <v>0</v>
      </c>
      <c r="P135" s="504">
        <f t="shared" si="23"/>
        <v>0</v>
      </c>
      <c r="Q135" s="243"/>
      <c r="R135" s="243"/>
      <c r="S135" s="243"/>
      <c r="T135" s="243"/>
      <c r="U135" s="243"/>
    </row>
    <row r="136" spans="3:21">
      <c r="C136" s="495">
        <f>IF(D94="","-",+C135+1)</f>
        <v>2052</v>
      </c>
      <c r="D136" s="349">
        <f>IF(F135+SUM(E$100:E135)=D$93,F135,D$93-SUM(E$100:E135))</f>
        <v>0</v>
      </c>
      <c r="E136" s="509">
        <f>IF(+J97&lt;F135,J97,D136)</f>
        <v>0</v>
      </c>
      <c r="F136" s="510">
        <f t="shared" si="18"/>
        <v>0</v>
      </c>
      <c r="G136" s="510">
        <f t="shared" si="19"/>
        <v>0</v>
      </c>
      <c r="H136" s="627">
        <f t="shared" si="16"/>
        <v>0</v>
      </c>
      <c r="I136" s="628">
        <f t="shared" si="17"/>
        <v>0</v>
      </c>
      <c r="J136" s="504">
        <f t="shared" si="20"/>
        <v>0</v>
      </c>
      <c r="K136" s="504"/>
      <c r="L136" s="512"/>
      <c r="M136" s="504">
        <f t="shared" si="21"/>
        <v>0</v>
      </c>
      <c r="N136" s="512"/>
      <c r="O136" s="504">
        <f t="shared" si="22"/>
        <v>0</v>
      </c>
      <c r="P136" s="504">
        <f t="shared" si="23"/>
        <v>0</v>
      </c>
      <c r="Q136" s="243"/>
      <c r="R136" s="243"/>
      <c r="S136" s="243"/>
      <c r="T136" s="243"/>
      <c r="U136" s="243"/>
    </row>
    <row r="137" spans="3:21">
      <c r="C137" s="495">
        <f>IF(D94="","-",+C136+1)</f>
        <v>2053</v>
      </c>
      <c r="D137" s="349">
        <f>IF(F136+SUM(E$100:E136)=D$93,F136,D$93-SUM(E$100:E136))</f>
        <v>0</v>
      </c>
      <c r="E137" s="509">
        <f>IF(+J97&lt;F136,J97,D137)</f>
        <v>0</v>
      </c>
      <c r="F137" s="510">
        <f t="shared" si="18"/>
        <v>0</v>
      </c>
      <c r="G137" s="510">
        <f t="shared" si="19"/>
        <v>0</v>
      </c>
      <c r="H137" s="627">
        <f t="shared" si="16"/>
        <v>0</v>
      </c>
      <c r="I137" s="628">
        <f t="shared" si="17"/>
        <v>0</v>
      </c>
      <c r="J137" s="504">
        <f t="shared" si="20"/>
        <v>0</v>
      </c>
      <c r="K137" s="504"/>
      <c r="L137" s="512"/>
      <c r="M137" s="504">
        <f t="shared" si="21"/>
        <v>0</v>
      </c>
      <c r="N137" s="512"/>
      <c r="O137" s="504">
        <f t="shared" si="22"/>
        <v>0</v>
      </c>
      <c r="P137" s="504">
        <f t="shared" si="23"/>
        <v>0</v>
      </c>
      <c r="Q137" s="243"/>
      <c r="R137" s="243"/>
      <c r="S137" s="243"/>
      <c r="T137" s="243"/>
      <c r="U137" s="243"/>
    </row>
    <row r="138" spans="3:21">
      <c r="C138" s="495">
        <f>IF(D94="","-",+C137+1)</f>
        <v>2054</v>
      </c>
      <c r="D138" s="349">
        <f>IF(F137+SUM(E$100:E137)=D$93,F137,D$93-SUM(E$100:E137))</f>
        <v>0</v>
      </c>
      <c r="E138" s="509">
        <f>IF(+J97&lt;F137,J97,D138)</f>
        <v>0</v>
      </c>
      <c r="F138" s="510">
        <f t="shared" si="18"/>
        <v>0</v>
      </c>
      <c r="G138" s="510">
        <f t="shared" si="19"/>
        <v>0</v>
      </c>
      <c r="H138" s="627">
        <f t="shared" si="16"/>
        <v>0</v>
      </c>
      <c r="I138" s="628">
        <f t="shared" si="17"/>
        <v>0</v>
      </c>
      <c r="J138" s="504">
        <f t="shared" si="20"/>
        <v>0</v>
      </c>
      <c r="K138" s="504"/>
      <c r="L138" s="512"/>
      <c r="M138" s="504">
        <f t="shared" si="21"/>
        <v>0</v>
      </c>
      <c r="N138" s="512"/>
      <c r="O138" s="504">
        <f t="shared" si="22"/>
        <v>0</v>
      </c>
      <c r="P138" s="504">
        <f t="shared" si="23"/>
        <v>0</v>
      </c>
      <c r="Q138" s="243"/>
      <c r="R138" s="243"/>
      <c r="S138" s="243"/>
      <c r="T138" s="243"/>
      <c r="U138" s="243"/>
    </row>
    <row r="139" spans="3:21">
      <c r="C139" s="495">
        <f>IF(D94="","-",+C138+1)</f>
        <v>2055</v>
      </c>
      <c r="D139" s="349">
        <f>IF(F138+SUM(E$100:E138)=D$93,F138,D$93-SUM(E$100:E138))</f>
        <v>0</v>
      </c>
      <c r="E139" s="509">
        <f>IF(+J97&lt;F138,J97,D139)</f>
        <v>0</v>
      </c>
      <c r="F139" s="510">
        <f t="shared" si="18"/>
        <v>0</v>
      </c>
      <c r="G139" s="510">
        <f t="shared" si="19"/>
        <v>0</v>
      </c>
      <c r="H139" s="627">
        <f t="shared" si="16"/>
        <v>0</v>
      </c>
      <c r="I139" s="628">
        <f t="shared" si="17"/>
        <v>0</v>
      </c>
      <c r="J139" s="504">
        <f t="shared" si="20"/>
        <v>0</v>
      </c>
      <c r="K139" s="504"/>
      <c r="L139" s="512"/>
      <c r="M139" s="504">
        <f t="shared" si="21"/>
        <v>0</v>
      </c>
      <c r="N139" s="512"/>
      <c r="O139" s="504">
        <f t="shared" si="22"/>
        <v>0</v>
      </c>
      <c r="P139" s="504">
        <f t="shared" si="23"/>
        <v>0</v>
      </c>
      <c r="Q139" s="243"/>
      <c r="R139" s="243"/>
      <c r="S139" s="243"/>
      <c r="T139" s="243"/>
      <c r="U139" s="243"/>
    </row>
    <row r="140" spans="3:21">
      <c r="C140" s="495">
        <f>IF(D94="","-",+C139+1)</f>
        <v>2056</v>
      </c>
      <c r="D140" s="349">
        <f>IF(F139+SUM(E$100:E139)=D$93,F139,D$93-SUM(E$100:E139))</f>
        <v>0</v>
      </c>
      <c r="E140" s="509">
        <f>IF(+J97&lt;F139,J97,D140)</f>
        <v>0</v>
      </c>
      <c r="F140" s="510">
        <f t="shared" si="18"/>
        <v>0</v>
      </c>
      <c r="G140" s="510">
        <f t="shared" si="19"/>
        <v>0</v>
      </c>
      <c r="H140" s="627">
        <f t="shared" si="16"/>
        <v>0</v>
      </c>
      <c r="I140" s="628">
        <f t="shared" si="17"/>
        <v>0</v>
      </c>
      <c r="J140" s="504">
        <f t="shared" si="20"/>
        <v>0</v>
      </c>
      <c r="K140" s="504"/>
      <c r="L140" s="512"/>
      <c r="M140" s="504">
        <f t="shared" si="21"/>
        <v>0</v>
      </c>
      <c r="N140" s="512"/>
      <c r="O140" s="504">
        <f t="shared" si="22"/>
        <v>0</v>
      </c>
      <c r="P140" s="504">
        <f t="shared" si="23"/>
        <v>0</v>
      </c>
      <c r="Q140" s="243"/>
      <c r="R140" s="243"/>
      <c r="S140" s="243"/>
      <c r="T140" s="243"/>
      <c r="U140" s="243"/>
    </row>
    <row r="141" spans="3:21">
      <c r="C141" s="495">
        <f>IF(D94="","-",+C140+1)</f>
        <v>2057</v>
      </c>
      <c r="D141" s="349">
        <f>IF(F140+SUM(E$100:E140)=D$93,F140,D$93-SUM(E$100:E140))</f>
        <v>0</v>
      </c>
      <c r="E141" s="509">
        <f>IF(+J97&lt;F140,J97,D141)</f>
        <v>0</v>
      </c>
      <c r="F141" s="510">
        <f t="shared" si="18"/>
        <v>0</v>
      </c>
      <c r="G141" s="510">
        <f t="shared" si="19"/>
        <v>0</v>
      </c>
      <c r="H141" s="627">
        <f t="shared" si="16"/>
        <v>0</v>
      </c>
      <c r="I141" s="628">
        <f t="shared" si="17"/>
        <v>0</v>
      </c>
      <c r="J141" s="504">
        <f t="shared" si="20"/>
        <v>0</v>
      </c>
      <c r="K141" s="504"/>
      <c r="L141" s="512"/>
      <c r="M141" s="504">
        <f t="shared" si="21"/>
        <v>0</v>
      </c>
      <c r="N141" s="512"/>
      <c r="O141" s="504">
        <f t="shared" si="22"/>
        <v>0</v>
      </c>
      <c r="P141" s="504">
        <f t="shared" si="23"/>
        <v>0</v>
      </c>
      <c r="Q141" s="243"/>
      <c r="R141" s="243"/>
      <c r="S141" s="243"/>
      <c r="T141" s="243"/>
      <c r="U141" s="243"/>
    </row>
    <row r="142" spans="3:21">
      <c r="C142" s="495">
        <f>IF(D94="","-",+C141+1)</f>
        <v>2058</v>
      </c>
      <c r="D142" s="349">
        <f>IF(F141+SUM(E$100:E141)=D$93,F141,D$93-SUM(E$100:E141))</f>
        <v>0</v>
      </c>
      <c r="E142" s="509">
        <f>IF(+J97&lt;F141,J97,D142)</f>
        <v>0</v>
      </c>
      <c r="F142" s="510">
        <f t="shared" si="18"/>
        <v>0</v>
      </c>
      <c r="G142" s="510">
        <f t="shared" si="19"/>
        <v>0</v>
      </c>
      <c r="H142" s="627">
        <f t="shared" si="16"/>
        <v>0</v>
      </c>
      <c r="I142" s="628">
        <f t="shared" si="17"/>
        <v>0</v>
      </c>
      <c r="J142" s="504">
        <f t="shared" si="20"/>
        <v>0</v>
      </c>
      <c r="K142" s="504"/>
      <c r="L142" s="512"/>
      <c r="M142" s="504">
        <f t="shared" si="21"/>
        <v>0</v>
      </c>
      <c r="N142" s="512"/>
      <c r="O142" s="504">
        <f t="shared" si="22"/>
        <v>0</v>
      </c>
      <c r="P142" s="504">
        <f t="shared" si="23"/>
        <v>0</v>
      </c>
      <c r="Q142" s="243"/>
      <c r="R142" s="243"/>
      <c r="S142" s="243"/>
      <c r="T142" s="243"/>
      <c r="U142" s="243"/>
    </row>
    <row r="143" spans="3:21">
      <c r="C143" s="495">
        <f>IF(D94="","-",+C142+1)</f>
        <v>2059</v>
      </c>
      <c r="D143" s="349">
        <f>IF(F142+SUM(E$100:E142)=D$93,F142,D$93-SUM(E$100:E142))</f>
        <v>0</v>
      </c>
      <c r="E143" s="509">
        <f>IF(+J97&lt;F142,J97,D143)</f>
        <v>0</v>
      </c>
      <c r="F143" s="510">
        <f t="shared" si="18"/>
        <v>0</v>
      </c>
      <c r="G143" s="510">
        <f t="shared" si="19"/>
        <v>0</v>
      </c>
      <c r="H143" s="627">
        <f t="shared" si="16"/>
        <v>0</v>
      </c>
      <c r="I143" s="628">
        <f t="shared" si="17"/>
        <v>0</v>
      </c>
      <c r="J143" s="504">
        <f t="shared" si="20"/>
        <v>0</v>
      </c>
      <c r="K143" s="504"/>
      <c r="L143" s="512"/>
      <c r="M143" s="504">
        <f t="shared" si="21"/>
        <v>0</v>
      </c>
      <c r="N143" s="512"/>
      <c r="O143" s="504">
        <f t="shared" si="22"/>
        <v>0</v>
      </c>
      <c r="P143" s="504">
        <f t="shared" si="23"/>
        <v>0</v>
      </c>
      <c r="Q143" s="243"/>
      <c r="R143" s="243"/>
      <c r="S143" s="243"/>
      <c r="T143" s="243"/>
      <c r="U143" s="243"/>
    </row>
    <row r="144" spans="3:21">
      <c r="C144" s="495">
        <f>IF(D94="","-",+C143+1)</f>
        <v>2060</v>
      </c>
      <c r="D144" s="349">
        <f>IF(F143+SUM(E$100:E143)=D$93,F143,D$93-SUM(E$100:E143))</f>
        <v>0</v>
      </c>
      <c r="E144" s="509">
        <f>IF(+J97&lt;F143,J97,D144)</f>
        <v>0</v>
      </c>
      <c r="F144" s="510">
        <f t="shared" si="18"/>
        <v>0</v>
      </c>
      <c r="G144" s="510">
        <f t="shared" si="19"/>
        <v>0</v>
      </c>
      <c r="H144" s="627">
        <f t="shared" si="16"/>
        <v>0</v>
      </c>
      <c r="I144" s="628">
        <f t="shared" si="17"/>
        <v>0</v>
      </c>
      <c r="J144" s="504">
        <f t="shared" si="20"/>
        <v>0</v>
      </c>
      <c r="K144" s="504"/>
      <c r="L144" s="512"/>
      <c r="M144" s="504">
        <f t="shared" si="21"/>
        <v>0</v>
      </c>
      <c r="N144" s="512"/>
      <c r="O144" s="504">
        <f t="shared" si="22"/>
        <v>0</v>
      </c>
      <c r="P144" s="504">
        <f t="shared" si="23"/>
        <v>0</v>
      </c>
      <c r="Q144" s="243"/>
      <c r="R144" s="243"/>
      <c r="S144" s="243"/>
      <c r="T144" s="243"/>
      <c r="U144" s="243"/>
    </row>
    <row r="145" spans="3:21">
      <c r="C145" s="495">
        <f>IF(D94="","-",+C144+1)</f>
        <v>2061</v>
      </c>
      <c r="D145" s="349">
        <f>IF(F144+SUM(E$100:E144)=D$93,F144,D$93-SUM(E$100:E144))</f>
        <v>0</v>
      </c>
      <c r="E145" s="509">
        <f>IF(+J97&lt;F144,J97,D145)</f>
        <v>0</v>
      </c>
      <c r="F145" s="510">
        <f t="shared" si="18"/>
        <v>0</v>
      </c>
      <c r="G145" s="510">
        <f t="shared" si="19"/>
        <v>0</v>
      </c>
      <c r="H145" s="627">
        <f t="shared" si="16"/>
        <v>0</v>
      </c>
      <c r="I145" s="628">
        <f t="shared" si="17"/>
        <v>0</v>
      </c>
      <c r="J145" s="504">
        <f t="shared" si="20"/>
        <v>0</v>
      </c>
      <c r="K145" s="504"/>
      <c r="L145" s="512"/>
      <c r="M145" s="504">
        <f t="shared" si="21"/>
        <v>0</v>
      </c>
      <c r="N145" s="512"/>
      <c r="O145" s="504">
        <f t="shared" si="22"/>
        <v>0</v>
      </c>
      <c r="P145" s="504">
        <f t="shared" si="23"/>
        <v>0</v>
      </c>
      <c r="Q145" s="243"/>
      <c r="R145" s="243"/>
      <c r="S145" s="243"/>
      <c r="T145" s="243"/>
      <c r="U145" s="243"/>
    </row>
    <row r="146" spans="3:21">
      <c r="C146" s="495">
        <f>IF(D94="","-",+C145+1)</f>
        <v>2062</v>
      </c>
      <c r="D146" s="349">
        <f>IF(F145+SUM(E$100:E145)=D$93,F145,D$93-SUM(E$100:E145))</f>
        <v>0</v>
      </c>
      <c r="E146" s="509">
        <f>IF(+J97&lt;F145,J97,D146)</f>
        <v>0</v>
      </c>
      <c r="F146" s="510">
        <f t="shared" si="18"/>
        <v>0</v>
      </c>
      <c r="G146" s="510">
        <f t="shared" si="19"/>
        <v>0</v>
      </c>
      <c r="H146" s="627">
        <f t="shared" si="16"/>
        <v>0</v>
      </c>
      <c r="I146" s="628">
        <f t="shared" si="17"/>
        <v>0</v>
      </c>
      <c r="J146" s="504">
        <f t="shared" si="20"/>
        <v>0</v>
      </c>
      <c r="K146" s="504"/>
      <c r="L146" s="512"/>
      <c r="M146" s="504">
        <f t="shared" si="21"/>
        <v>0</v>
      </c>
      <c r="N146" s="512"/>
      <c r="O146" s="504">
        <f t="shared" si="22"/>
        <v>0</v>
      </c>
      <c r="P146" s="504">
        <f t="shared" si="23"/>
        <v>0</v>
      </c>
      <c r="Q146" s="243"/>
      <c r="R146" s="243"/>
      <c r="S146" s="243"/>
      <c r="T146" s="243"/>
      <c r="U146" s="243"/>
    </row>
    <row r="147" spans="3:21">
      <c r="C147" s="495">
        <f>IF(D94="","-",+C146+1)</f>
        <v>2063</v>
      </c>
      <c r="D147" s="349">
        <f>IF(F146+SUM(E$100:E146)=D$93,F146,D$93-SUM(E$100:E146))</f>
        <v>0</v>
      </c>
      <c r="E147" s="509">
        <f>IF(+J97&lt;F146,J97,D147)</f>
        <v>0</v>
      </c>
      <c r="F147" s="510">
        <f t="shared" si="18"/>
        <v>0</v>
      </c>
      <c r="G147" s="510">
        <f t="shared" si="19"/>
        <v>0</v>
      </c>
      <c r="H147" s="627">
        <f t="shared" si="16"/>
        <v>0</v>
      </c>
      <c r="I147" s="628">
        <f t="shared" si="17"/>
        <v>0</v>
      </c>
      <c r="J147" s="504">
        <f t="shared" si="20"/>
        <v>0</v>
      </c>
      <c r="K147" s="504"/>
      <c r="L147" s="512"/>
      <c r="M147" s="504">
        <f t="shared" si="21"/>
        <v>0</v>
      </c>
      <c r="N147" s="512"/>
      <c r="O147" s="504">
        <f t="shared" si="22"/>
        <v>0</v>
      </c>
      <c r="P147" s="504">
        <f t="shared" si="23"/>
        <v>0</v>
      </c>
      <c r="Q147" s="243"/>
      <c r="R147" s="243"/>
      <c r="S147" s="243"/>
      <c r="T147" s="243"/>
      <c r="U147" s="243"/>
    </row>
    <row r="148" spans="3:21">
      <c r="C148" s="495">
        <f>IF(D94="","-",+C147+1)</f>
        <v>2064</v>
      </c>
      <c r="D148" s="349">
        <f>IF(F147+SUM(E$100:E147)=D$93,F147,D$93-SUM(E$100:E147))</f>
        <v>0</v>
      </c>
      <c r="E148" s="509">
        <f>IF(+J97&lt;F147,J97,D148)</f>
        <v>0</v>
      </c>
      <c r="F148" s="510">
        <f t="shared" si="18"/>
        <v>0</v>
      </c>
      <c r="G148" s="510">
        <f t="shared" si="19"/>
        <v>0</v>
      </c>
      <c r="H148" s="627">
        <f t="shared" si="16"/>
        <v>0</v>
      </c>
      <c r="I148" s="628">
        <f t="shared" si="17"/>
        <v>0</v>
      </c>
      <c r="J148" s="504">
        <f t="shared" si="20"/>
        <v>0</v>
      </c>
      <c r="K148" s="504"/>
      <c r="L148" s="512"/>
      <c r="M148" s="504">
        <f t="shared" si="21"/>
        <v>0</v>
      </c>
      <c r="N148" s="512"/>
      <c r="O148" s="504">
        <f t="shared" si="22"/>
        <v>0</v>
      </c>
      <c r="P148" s="504">
        <f t="shared" si="23"/>
        <v>0</v>
      </c>
      <c r="Q148" s="243"/>
      <c r="R148" s="243"/>
      <c r="S148" s="243"/>
      <c r="T148" s="243"/>
      <c r="U148" s="243"/>
    </row>
    <row r="149" spans="3:21">
      <c r="C149" s="495">
        <f>IF(D94="","-",+C148+1)</f>
        <v>2065</v>
      </c>
      <c r="D149" s="349">
        <f>IF(F148+SUM(E$100:E148)=D$93,F148,D$93-SUM(E$100:E148))</f>
        <v>0</v>
      </c>
      <c r="E149" s="509">
        <f>IF(+J97&lt;F148,J97,D149)</f>
        <v>0</v>
      </c>
      <c r="F149" s="510">
        <f t="shared" si="18"/>
        <v>0</v>
      </c>
      <c r="G149" s="510">
        <f t="shared" si="19"/>
        <v>0</v>
      </c>
      <c r="H149" s="627">
        <f t="shared" si="16"/>
        <v>0</v>
      </c>
      <c r="I149" s="628">
        <f t="shared" si="17"/>
        <v>0</v>
      </c>
      <c r="J149" s="504">
        <f t="shared" si="20"/>
        <v>0</v>
      </c>
      <c r="K149" s="504"/>
      <c r="L149" s="512"/>
      <c r="M149" s="504">
        <f t="shared" si="21"/>
        <v>0</v>
      </c>
      <c r="N149" s="512"/>
      <c r="O149" s="504">
        <f t="shared" si="22"/>
        <v>0</v>
      </c>
      <c r="P149" s="504">
        <f t="shared" si="23"/>
        <v>0</v>
      </c>
      <c r="Q149" s="243"/>
      <c r="R149" s="243"/>
      <c r="S149" s="243"/>
      <c r="T149" s="243"/>
      <c r="U149" s="243"/>
    </row>
    <row r="150" spans="3:21">
      <c r="C150" s="495">
        <f>IF(D94="","-",+C149+1)</f>
        <v>2066</v>
      </c>
      <c r="D150" s="349">
        <f>IF(F149+SUM(E$100:E149)=D$93,F149,D$93-SUM(E$100:E149))</f>
        <v>0</v>
      </c>
      <c r="E150" s="509">
        <f>IF(+J97&lt;F149,J97,D150)</f>
        <v>0</v>
      </c>
      <c r="F150" s="510">
        <f t="shared" si="18"/>
        <v>0</v>
      </c>
      <c r="G150" s="510">
        <f t="shared" si="19"/>
        <v>0</v>
      </c>
      <c r="H150" s="627">
        <f t="shared" si="16"/>
        <v>0</v>
      </c>
      <c r="I150" s="628">
        <f t="shared" si="17"/>
        <v>0</v>
      </c>
      <c r="J150" s="504">
        <f t="shared" si="20"/>
        <v>0</v>
      </c>
      <c r="K150" s="504"/>
      <c r="L150" s="512"/>
      <c r="M150" s="504">
        <f t="shared" si="21"/>
        <v>0</v>
      </c>
      <c r="N150" s="512"/>
      <c r="O150" s="504">
        <f t="shared" si="22"/>
        <v>0</v>
      </c>
      <c r="P150" s="504">
        <f t="shared" si="23"/>
        <v>0</v>
      </c>
      <c r="Q150" s="243"/>
      <c r="R150" s="243"/>
      <c r="S150" s="243"/>
      <c r="T150" s="243"/>
      <c r="U150" s="243"/>
    </row>
    <row r="151" spans="3:21">
      <c r="C151" s="495">
        <f>IF(D94="","-",+C150+1)</f>
        <v>2067</v>
      </c>
      <c r="D151" s="349">
        <f>IF(F150+SUM(E$100:E150)=D$93,F150,D$93-SUM(E$100:E150))</f>
        <v>0</v>
      </c>
      <c r="E151" s="509">
        <f>IF(+J97&lt;F150,J97,D151)</f>
        <v>0</v>
      </c>
      <c r="F151" s="510">
        <f t="shared" si="18"/>
        <v>0</v>
      </c>
      <c r="G151" s="510">
        <f t="shared" si="19"/>
        <v>0</v>
      </c>
      <c r="H151" s="627">
        <f t="shared" si="16"/>
        <v>0</v>
      </c>
      <c r="I151" s="628">
        <f t="shared" si="17"/>
        <v>0</v>
      </c>
      <c r="J151" s="504">
        <f t="shared" si="20"/>
        <v>0</v>
      </c>
      <c r="K151" s="504"/>
      <c r="L151" s="512"/>
      <c r="M151" s="504">
        <f t="shared" si="21"/>
        <v>0</v>
      </c>
      <c r="N151" s="512"/>
      <c r="O151" s="504">
        <f t="shared" si="22"/>
        <v>0</v>
      </c>
      <c r="P151" s="504">
        <f t="shared" si="23"/>
        <v>0</v>
      </c>
      <c r="Q151" s="243"/>
      <c r="R151" s="243"/>
      <c r="S151" s="243"/>
      <c r="T151" s="243"/>
      <c r="U151" s="243"/>
    </row>
    <row r="152" spans="3:21">
      <c r="C152" s="495">
        <f>IF(D94="","-",+C151+1)</f>
        <v>2068</v>
      </c>
      <c r="D152" s="349">
        <f>IF(F151+SUM(E$100:E151)=D$93,F151,D$93-SUM(E$100:E151))</f>
        <v>0</v>
      </c>
      <c r="E152" s="509">
        <f>IF(+J97&lt;F151,J97,D152)</f>
        <v>0</v>
      </c>
      <c r="F152" s="510">
        <f t="shared" si="18"/>
        <v>0</v>
      </c>
      <c r="G152" s="510">
        <f t="shared" si="19"/>
        <v>0</v>
      </c>
      <c r="H152" s="627">
        <f t="shared" si="16"/>
        <v>0</v>
      </c>
      <c r="I152" s="628">
        <f t="shared" si="17"/>
        <v>0</v>
      </c>
      <c r="J152" s="504">
        <f t="shared" si="20"/>
        <v>0</v>
      </c>
      <c r="K152" s="504"/>
      <c r="L152" s="512"/>
      <c r="M152" s="504">
        <f t="shared" si="21"/>
        <v>0</v>
      </c>
      <c r="N152" s="512"/>
      <c r="O152" s="504">
        <f t="shared" si="22"/>
        <v>0</v>
      </c>
      <c r="P152" s="504">
        <f t="shared" si="23"/>
        <v>0</v>
      </c>
      <c r="Q152" s="243"/>
      <c r="R152" s="243"/>
      <c r="S152" s="243"/>
      <c r="T152" s="243"/>
      <c r="U152" s="243"/>
    </row>
    <row r="153" spans="3:21">
      <c r="C153" s="495">
        <f>IF(D94="","-",+C152+1)</f>
        <v>2069</v>
      </c>
      <c r="D153" s="349">
        <f>IF(F152+SUM(E$100:E152)=D$93,F152,D$93-SUM(E$100:E152))</f>
        <v>0</v>
      </c>
      <c r="E153" s="509">
        <f>IF(+J97&lt;F152,J97,D153)</f>
        <v>0</v>
      </c>
      <c r="F153" s="510">
        <f t="shared" si="18"/>
        <v>0</v>
      </c>
      <c r="G153" s="510">
        <f t="shared" si="19"/>
        <v>0</v>
      </c>
      <c r="H153" s="627">
        <f t="shared" si="16"/>
        <v>0</v>
      </c>
      <c r="I153" s="628">
        <f t="shared" si="17"/>
        <v>0</v>
      </c>
      <c r="J153" s="504">
        <f t="shared" si="20"/>
        <v>0</v>
      </c>
      <c r="K153" s="504"/>
      <c r="L153" s="512"/>
      <c r="M153" s="504">
        <f t="shared" si="21"/>
        <v>0</v>
      </c>
      <c r="N153" s="512"/>
      <c r="O153" s="504">
        <f t="shared" si="22"/>
        <v>0</v>
      </c>
      <c r="P153" s="504">
        <f t="shared" si="23"/>
        <v>0</v>
      </c>
      <c r="Q153" s="243"/>
      <c r="R153" s="243"/>
      <c r="S153" s="243"/>
      <c r="T153" s="243"/>
      <c r="U153" s="243"/>
    </row>
    <row r="154" spans="3:21">
      <c r="C154" s="495">
        <f>IF(D94="","-",+C153+1)</f>
        <v>2070</v>
      </c>
      <c r="D154" s="349">
        <f>IF(F153+SUM(E$100:E153)=D$93,F153,D$93-SUM(E$100:E153))</f>
        <v>0</v>
      </c>
      <c r="E154" s="509">
        <f>IF(+J97&lt;F153,J97,D154)</f>
        <v>0</v>
      </c>
      <c r="F154" s="510">
        <f t="shared" si="18"/>
        <v>0</v>
      </c>
      <c r="G154" s="510">
        <f t="shared" si="19"/>
        <v>0</v>
      </c>
      <c r="H154" s="627">
        <f t="shared" si="16"/>
        <v>0</v>
      </c>
      <c r="I154" s="628">
        <f t="shared" si="17"/>
        <v>0</v>
      </c>
      <c r="J154" s="504">
        <f t="shared" si="20"/>
        <v>0</v>
      </c>
      <c r="K154" s="504"/>
      <c r="L154" s="512"/>
      <c r="M154" s="504">
        <f t="shared" si="21"/>
        <v>0</v>
      </c>
      <c r="N154" s="512"/>
      <c r="O154" s="504">
        <f t="shared" si="22"/>
        <v>0</v>
      </c>
      <c r="P154" s="504">
        <f t="shared" si="23"/>
        <v>0</v>
      </c>
      <c r="Q154" s="243"/>
      <c r="R154" s="243"/>
      <c r="S154" s="243"/>
      <c r="T154" s="243"/>
      <c r="U154" s="243"/>
    </row>
    <row r="155" spans="3:21" ht="13.5" thickBot="1">
      <c r="C155" s="524">
        <f>IF(D94="","-",+C154+1)</f>
        <v>2071</v>
      </c>
      <c r="D155" s="638">
        <f>IF(F154+SUM(E$100:E154)=D$93,F154,D$93-SUM(E$100:E154))</f>
        <v>0</v>
      </c>
      <c r="E155" s="526">
        <f>IF(+J97&lt;F154,J97,D155)</f>
        <v>0</v>
      </c>
      <c r="F155" s="527">
        <f t="shared" si="18"/>
        <v>0</v>
      </c>
      <c r="G155" s="527">
        <f t="shared" si="19"/>
        <v>0</v>
      </c>
      <c r="H155" s="623">
        <f t="shared" si="16"/>
        <v>0</v>
      </c>
      <c r="I155" s="624">
        <f t="shared" si="17"/>
        <v>0</v>
      </c>
      <c r="J155" s="531">
        <f t="shared" si="20"/>
        <v>0</v>
      </c>
      <c r="K155" s="504"/>
      <c r="L155" s="530"/>
      <c r="M155" s="531">
        <f t="shared" si="21"/>
        <v>0</v>
      </c>
      <c r="N155" s="530"/>
      <c r="O155" s="531">
        <f t="shared" si="22"/>
        <v>0</v>
      </c>
      <c r="P155" s="531">
        <f t="shared" si="23"/>
        <v>0</v>
      </c>
      <c r="Q155" s="243"/>
      <c r="R155" s="243"/>
      <c r="S155" s="243"/>
      <c r="T155" s="243"/>
      <c r="U155" s="243"/>
    </row>
    <row r="156" spans="3:21">
      <c r="C156" s="349" t="s">
        <v>75</v>
      </c>
      <c r="D156" s="294"/>
      <c r="E156" s="294">
        <f>SUM(E100:E155)</f>
        <v>68247469</v>
      </c>
      <c r="F156" s="294"/>
      <c r="G156" s="294"/>
      <c r="H156" s="294">
        <f>SUM(H100:H155)</f>
        <v>158445092.32118431</v>
      </c>
      <c r="I156" s="294">
        <f>SUM(I100:I155)</f>
        <v>158445092.32118431</v>
      </c>
      <c r="J156" s="294">
        <f>SUM(J100:J155)</f>
        <v>0</v>
      </c>
      <c r="K156" s="294"/>
      <c r="L156" s="294"/>
      <c r="M156" s="294"/>
      <c r="N156" s="294"/>
      <c r="O156" s="294"/>
      <c r="P156" s="243"/>
      <c r="Q156" s="243"/>
      <c r="R156" s="243"/>
      <c r="S156" s="243"/>
      <c r="T156" s="243"/>
      <c r="U156" s="243"/>
    </row>
    <row r="157" spans="3:21">
      <c r="C157" s="145" t="s">
        <v>90</v>
      </c>
      <c r="D157" s="292"/>
      <c r="E157" s="243"/>
      <c r="F157" s="243"/>
      <c r="G157" s="243"/>
      <c r="H157" s="243"/>
      <c r="I157" s="325"/>
      <c r="J157" s="325"/>
      <c r="K157" s="294"/>
      <c r="L157" s="325"/>
      <c r="M157" s="325"/>
      <c r="N157" s="325"/>
      <c r="O157" s="325"/>
      <c r="P157" s="243"/>
      <c r="Q157" s="243"/>
      <c r="R157" s="243"/>
      <c r="S157" s="243"/>
      <c r="T157" s="243"/>
      <c r="U157" s="243"/>
    </row>
    <row r="158" spans="3:21">
      <c r="C158" s="574"/>
      <c r="D158" s="292"/>
      <c r="E158" s="243"/>
      <c r="F158" s="243"/>
      <c r="G158" s="243"/>
      <c r="H158" s="243"/>
      <c r="I158" s="325"/>
      <c r="J158" s="325"/>
      <c r="K158" s="294"/>
      <c r="L158" s="325"/>
      <c r="M158" s="325"/>
      <c r="N158" s="325"/>
      <c r="O158" s="325"/>
      <c r="P158" s="243"/>
      <c r="Q158" s="243"/>
      <c r="R158" s="243"/>
      <c r="S158" s="243"/>
      <c r="T158" s="243"/>
      <c r="U158" s="243"/>
    </row>
    <row r="159" spans="3:21">
      <c r="C159" s="619" t="s">
        <v>130</v>
      </c>
      <c r="D159" s="292"/>
      <c r="E159" s="243"/>
      <c r="F159" s="243"/>
      <c r="G159" s="243"/>
      <c r="H159" s="243"/>
      <c r="I159" s="325"/>
      <c r="J159" s="325"/>
      <c r="K159" s="294"/>
      <c r="L159" s="325"/>
      <c r="M159" s="325"/>
      <c r="N159" s="325"/>
      <c r="O159" s="325"/>
      <c r="P159" s="243"/>
      <c r="Q159" s="243"/>
      <c r="R159" s="243"/>
      <c r="S159" s="243"/>
      <c r="T159" s="243"/>
      <c r="U159" s="243"/>
    </row>
    <row r="160" spans="3:21">
      <c r="C160" s="454" t="s">
        <v>76</v>
      </c>
      <c r="D160" s="349"/>
      <c r="E160" s="349"/>
      <c r="F160" s="349"/>
      <c r="G160" s="349"/>
      <c r="H160" s="294"/>
      <c r="I160" s="294"/>
      <c r="J160" s="350"/>
      <c r="K160" s="350"/>
      <c r="L160" s="350"/>
      <c r="M160" s="350"/>
      <c r="N160" s="350"/>
      <c r="O160" s="350"/>
      <c r="P160" s="243"/>
      <c r="Q160" s="243"/>
      <c r="R160" s="243"/>
      <c r="S160" s="243"/>
      <c r="T160" s="243"/>
      <c r="U160" s="243"/>
    </row>
    <row r="161" spans="3:21">
      <c r="C161" s="575" t="s">
        <v>77</v>
      </c>
      <c r="D161" s="349"/>
      <c r="E161" s="349"/>
      <c r="F161" s="349"/>
      <c r="G161" s="349"/>
      <c r="H161" s="294"/>
      <c r="I161" s="294"/>
      <c r="J161" s="350"/>
      <c r="K161" s="350"/>
      <c r="L161" s="350"/>
      <c r="M161" s="350"/>
      <c r="N161" s="350"/>
      <c r="O161" s="350"/>
      <c r="P161" s="243"/>
      <c r="Q161" s="243"/>
      <c r="R161" s="243"/>
      <c r="S161" s="243"/>
      <c r="T161" s="243"/>
      <c r="U161" s="243"/>
    </row>
    <row r="162" spans="3:21">
      <c r="C162" s="575"/>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73">
    <cfRule type="cellIs" dxfId="33" priority="1" stopIfTrue="1" operator="equal">
      <formula>$I$10</formula>
    </cfRule>
  </conditionalFormatting>
  <conditionalFormatting sqref="C100:C155">
    <cfRule type="cellIs" dxfId="32"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U163"/>
  <sheetViews>
    <sheetView view="pageBreakPreview" zoomScale="85" zoomScaleNormal="100"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15 of 23</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1428596.2821515901</v>
      </c>
      <c r="P5" s="243"/>
      <c r="R5" s="243"/>
      <c r="S5" s="243"/>
      <c r="T5" s="243"/>
      <c r="U5" s="243"/>
    </row>
    <row r="6" spans="1:21" ht="15.75">
      <c r="C6" s="235"/>
      <c r="D6" s="292"/>
      <c r="E6" s="243"/>
      <c r="F6" s="243"/>
      <c r="G6" s="243"/>
      <c r="H6" s="449"/>
      <c r="I6" s="449"/>
      <c r="J6" s="450"/>
      <c r="K6" s="451" t="s">
        <v>243</v>
      </c>
      <c r="L6" s="452"/>
      <c r="M6" s="278"/>
      <c r="N6" s="453">
        <f>VLOOKUP(I10,C17:I73,6)</f>
        <v>1428596.2821515901</v>
      </c>
      <c r="O6" s="243"/>
      <c r="P6" s="243"/>
      <c r="R6" s="243"/>
      <c r="S6" s="243"/>
      <c r="T6" s="243"/>
      <c r="U6" s="243"/>
    </row>
    <row r="7" spans="1:21" ht="13.5" thickBot="1">
      <c r="C7" s="454" t="s">
        <v>46</v>
      </c>
      <c r="D7" s="455" t="s">
        <v>244</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291</v>
      </c>
      <c r="E9" s="647" t="s">
        <v>298</v>
      </c>
      <c r="F9" s="465"/>
      <c r="G9" s="465"/>
      <c r="H9" s="465"/>
      <c r="I9" s="466"/>
      <c r="J9" s="467"/>
      <c r="O9" s="468"/>
      <c r="P9" s="278"/>
      <c r="R9" s="243"/>
      <c r="S9" s="243"/>
      <c r="T9" s="243"/>
      <c r="U9" s="243"/>
    </row>
    <row r="10" spans="1:21">
      <c r="C10" s="469" t="s">
        <v>49</v>
      </c>
      <c r="D10" s="470">
        <v>11056565</v>
      </c>
      <c r="E10" s="299" t="s">
        <v>50</v>
      </c>
      <c r="F10" s="468"/>
      <c r="G10" s="408"/>
      <c r="H10" s="408"/>
      <c r="I10" s="471">
        <f>+OKT.WS.F.BPU.ATRR.Projected!R101</f>
        <v>2022</v>
      </c>
      <c r="J10" s="467"/>
      <c r="K10" s="294" t="s">
        <v>51</v>
      </c>
      <c r="O10" s="278"/>
      <c r="P10" s="278"/>
      <c r="R10" s="243"/>
      <c r="S10" s="243"/>
      <c r="T10" s="243"/>
      <c r="U10" s="243"/>
    </row>
    <row r="11" spans="1:21">
      <c r="C11" s="472" t="s">
        <v>52</v>
      </c>
      <c r="D11" s="473">
        <v>2017</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6</v>
      </c>
      <c r="E12" s="472" t="s">
        <v>55</v>
      </c>
      <c r="F12" s="408"/>
      <c r="G12" s="220"/>
      <c r="H12" s="220"/>
      <c r="I12" s="476">
        <f>OKT.WS.F.BPU.ATRR.Projected!$F$79</f>
        <v>0.11475877389767174</v>
      </c>
      <c r="J12" s="578"/>
      <c r="K12" s="145" t="s">
        <v>56</v>
      </c>
      <c r="O12" s="278"/>
      <c r="P12" s="278"/>
      <c r="R12" s="243"/>
      <c r="S12" s="243"/>
      <c r="T12" s="243"/>
      <c r="U12" s="243"/>
    </row>
    <row r="13" spans="1:21">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335047.42424242425</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73" si="0">IF(D17=F16,"","IU")</f>
        <v>IU</v>
      </c>
      <c r="C17" s="580">
        <f>IF(D11= "","-",D11)</f>
        <v>2017</v>
      </c>
      <c r="D17" s="612">
        <v>0</v>
      </c>
      <c r="E17" s="620">
        <v>104355.95770200831</v>
      </c>
      <c r="F17" s="612">
        <v>10510644.042297991</v>
      </c>
      <c r="G17" s="620">
        <v>682125.91542676068</v>
      </c>
      <c r="H17" s="617">
        <v>682125.91542676068</v>
      </c>
      <c r="I17" s="500">
        <f>H17-G17</f>
        <v>0</v>
      </c>
      <c r="J17" s="500"/>
      <c r="K17" s="506">
        <f>+G17</f>
        <v>682125.91542676068</v>
      </c>
      <c r="L17" s="504">
        <f>IF(K17&lt;&gt;0,+G17-K17,0)</f>
        <v>0</v>
      </c>
      <c r="M17" s="506">
        <f>+H17</f>
        <v>682125.91542676068</v>
      </c>
      <c r="N17" s="586">
        <f t="shared" ref="N17:N73" si="1">IF(M17&lt;&gt;0,+H17-M17,0)</f>
        <v>0</v>
      </c>
      <c r="O17" s="504">
        <f t="shared" ref="O17:O73" si="2">+N17-L17</f>
        <v>0</v>
      </c>
      <c r="P17" s="278"/>
      <c r="R17" s="243"/>
      <c r="S17" s="243"/>
      <c r="T17" s="243"/>
      <c r="U17" s="243"/>
    </row>
    <row r="18" spans="2:21">
      <c r="B18" s="145" t="str">
        <f t="shared" si="0"/>
        <v/>
      </c>
      <c r="C18" s="495">
        <f>IF(D11="","-",+C17+1)</f>
        <v>2018</v>
      </c>
      <c r="D18" s="614">
        <v>10510644.042297991</v>
      </c>
      <c r="E18" s="613">
        <v>260328.43725382842</v>
      </c>
      <c r="F18" s="614">
        <v>10250315.605044162</v>
      </c>
      <c r="G18" s="613">
        <v>1315230.681782007</v>
      </c>
      <c r="H18" s="617">
        <v>1315230.681782007</v>
      </c>
      <c r="I18" s="500">
        <f>H18-G18</f>
        <v>0</v>
      </c>
      <c r="J18" s="500"/>
      <c r="K18" s="592">
        <f>+G18</f>
        <v>1315230.681782007</v>
      </c>
      <c r="L18" s="596">
        <f>IF(K18&lt;&gt;0,+G18-K18,0)</f>
        <v>0</v>
      </c>
      <c r="M18" s="592">
        <f>+H18</f>
        <v>1315230.681782007</v>
      </c>
      <c r="N18" s="504">
        <f>IF(M18&lt;&gt;0,+H18-M18,0)</f>
        <v>0</v>
      </c>
      <c r="O18" s="504">
        <f>+N18-L18</f>
        <v>0</v>
      </c>
      <c r="P18" s="278"/>
      <c r="R18" s="243"/>
      <c r="S18" s="243"/>
      <c r="T18" s="243"/>
      <c r="U18" s="243"/>
    </row>
    <row r="19" spans="2:21">
      <c r="B19" s="145" t="str">
        <f t="shared" si="0"/>
        <v/>
      </c>
      <c r="C19" s="495">
        <f>IF(D11="","-",+C18+1)</f>
        <v>2019</v>
      </c>
      <c r="D19" s="614">
        <v>10250315.605044162</v>
      </c>
      <c r="E19" s="613">
        <v>314828.66007880151</v>
      </c>
      <c r="F19" s="614">
        <v>9935486.9449653607</v>
      </c>
      <c r="G19" s="613">
        <v>1363844.0888504181</v>
      </c>
      <c r="H19" s="617">
        <v>1363844.0888504181</v>
      </c>
      <c r="I19" s="500">
        <f>H19-G19</f>
        <v>0</v>
      </c>
      <c r="J19" s="500"/>
      <c r="K19" s="592">
        <f>+G19</f>
        <v>1363844.0888504181</v>
      </c>
      <c r="L19" s="596">
        <f>IF(K19&lt;&gt;0,+G19-K19,0)</f>
        <v>0</v>
      </c>
      <c r="M19" s="592">
        <f>+H19</f>
        <v>1363844.0888504181</v>
      </c>
      <c r="N19" s="504">
        <f>IF(M19&lt;&gt;0,+H19-M19,0)</f>
        <v>0</v>
      </c>
      <c r="O19" s="504">
        <f>+N19-L19</f>
        <v>0</v>
      </c>
      <c r="P19" s="278"/>
      <c r="R19" s="243"/>
      <c r="S19" s="243"/>
      <c r="T19" s="243"/>
      <c r="U19" s="243"/>
    </row>
    <row r="20" spans="2:21">
      <c r="B20" s="145" t="str">
        <f t="shared" si="0"/>
        <v>IU</v>
      </c>
      <c r="C20" s="495">
        <f>IF(D11="","-",+C19+1)</f>
        <v>2020</v>
      </c>
      <c r="D20" s="614">
        <v>10431552.167790335</v>
      </c>
      <c r="E20" s="613">
        <v>323755.90908112278</v>
      </c>
      <c r="F20" s="614">
        <v>10107796.258709213</v>
      </c>
      <c r="G20" s="613">
        <v>1401378.1525541013</v>
      </c>
      <c r="H20" s="617">
        <v>1401378.1525541013</v>
      </c>
      <c r="I20" s="500">
        <f>H20-G20</f>
        <v>0</v>
      </c>
      <c r="J20" s="500"/>
      <c r="K20" s="592">
        <f>+G20</f>
        <v>1401378.1525541013</v>
      </c>
      <c r="L20" s="596">
        <f>IF(K20&lt;&gt;0,+G20-K20,0)</f>
        <v>0</v>
      </c>
      <c r="M20" s="592">
        <f>+H20</f>
        <v>1401378.1525541013</v>
      </c>
      <c r="N20" s="504">
        <f t="shared" si="1"/>
        <v>0</v>
      </c>
      <c r="O20" s="504">
        <f t="shared" si="2"/>
        <v>0</v>
      </c>
      <c r="P20" s="278"/>
      <c r="R20" s="243"/>
      <c r="S20" s="243"/>
      <c r="T20" s="243"/>
      <c r="U20" s="243"/>
    </row>
    <row r="21" spans="2:21">
      <c r="B21" s="145" t="str">
        <f t="shared" si="0"/>
        <v>IU</v>
      </c>
      <c r="C21" s="495">
        <f>IF(D12="","-",+C20+1)</f>
        <v>2021</v>
      </c>
      <c r="D21" s="614">
        <v>10053296.035884239</v>
      </c>
      <c r="E21" s="613">
        <v>356663.38709677418</v>
      </c>
      <c r="F21" s="614">
        <v>9696632.6487874649</v>
      </c>
      <c r="G21" s="613">
        <v>1424987.0679285447</v>
      </c>
      <c r="H21" s="617">
        <v>1424987.0679285447</v>
      </c>
      <c r="I21" s="500">
        <f t="shared" ref="I21:I73" si="3">H21-G21</f>
        <v>0</v>
      </c>
      <c r="J21" s="500"/>
      <c r="K21" s="592">
        <f>+G21</f>
        <v>1424987.0679285447</v>
      </c>
      <c r="L21" s="596">
        <f>IF(K21&lt;&gt;0,+G21-K21,0)</f>
        <v>0</v>
      </c>
      <c r="M21" s="592">
        <f>+H21</f>
        <v>1424987.0679285447</v>
      </c>
      <c r="N21" s="504">
        <f t="shared" si="1"/>
        <v>0</v>
      </c>
      <c r="O21" s="504">
        <f t="shared" si="2"/>
        <v>0</v>
      </c>
      <c r="P21" s="278"/>
      <c r="R21" s="243"/>
      <c r="S21" s="243"/>
      <c r="T21" s="243"/>
      <c r="U21" s="243"/>
    </row>
    <row r="22" spans="2:21">
      <c r="B22" s="145" t="str">
        <f t="shared" si="0"/>
        <v/>
      </c>
      <c r="C22" s="495">
        <f>IF(D11="","-",+C21+1)</f>
        <v>2022</v>
      </c>
      <c r="D22" s="508">
        <f>IF(F21+SUM(E$17:E21)=D$10,F21,D$10-SUM(E$17:E21))</f>
        <v>9696632.6487874649</v>
      </c>
      <c r="E22" s="509">
        <f t="shared" ref="E22:E40" si="4">IF(+I$14&lt;F21,I$14,D22)</f>
        <v>335047.42424242425</v>
      </c>
      <c r="F22" s="510">
        <f t="shared" ref="F22:F73" si="5">+D22-E22</f>
        <v>9361585.2245450411</v>
      </c>
      <c r="G22" s="511">
        <f t="shared" ref="G22:G73" si="6">(D22+F22)/2*I$12+E22</f>
        <v>1428596.2821515901</v>
      </c>
      <c r="H22" s="477">
        <f t="shared" ref="H22:H73" si="7">+(D22+F22)/2*I$13+E22</f>
        <v>1428596.2821515901</v>
      </c>
      <c r="I22" s="500">
        <f t="shared" si="3"/>
        <v>0</v>
      </c>
      <c r="J22" s="500"/>
      <c r="K22" s="512"/>
      <c r="L22" s="504">
        <f t="shared" ref="L22:L73" si="8">IF(K22&lt;&gt;0,+G22-K22,0)</f>
        <v>0</v>
      </c>
      <c r="M22" s="512"/>
      <c r="N22" s="504">
        <f t="shared" si="1"/>
        <v>0</v>
      </c>
      <c r="O22" s="504">
        <f t="shared" si="2"/>
        <v>0</v>
      </c>
      <c r="P22" s="278"/>
      <c r="R22" s="243"/>
      <c r="S22" s="243"/>
      <c r="T22" s="243"/>
      <c r="U22" s="243"/>
    </row>
    <row r="23" spans="2:21">
      <c r="B23" s="145" t="str">
        <f t="shared" si="0"/>
        <v/>
      </c>
      <c r="C23" s="495">
        <f>IF(D11="","-",+C22+1)</f>
        <v>2023</v>
      </c>
      <c r="D23" s="508">
        <f>IF(F22+SUM(E$17:E22)=D$10,F22,D$10-SUM(E$17:E22))</f>
        <v>9361585.2245450411</v>
      </c>
      <c r="E23" s="509">
        <f t="shared" si="4"/>
        <v>335047.42424242425</v>
      </c>
      <c r="F23" s="510">
        <f t="shared" si="5"/>
        <v>9026537.8003026173</v>
      </c>
      <c r="G23" s="511">
        <f t="shared" si="6"/>
        <v>1390146.6505479563</v>
      </c>
      <c r="H23" s="477">
        <f t="shared" si="7"/>
        <v>1390146.6505479563</v>
      </c>
      <c r="I23" s="500">
        <f t="shared" si="3"/>
        <v>0</v>
      </c>
      <c r="J23" s="500"/>
      <c r="K23" s="512"/>
      <c r="L23" s="504">
        <f t="shared" si="8"/>
        <v>0</v>
      </c>
      <c r="M23" s="512"/>
      <c r="N23" s="504">
        <f t="shared" si="1"/>
        <v>0</v>
      </c>
      <c r="O23" s="504">
        <f t="shared" si="2"/>
        <v>0</v>
      </c>
      <c r="P23" s="278"/>
      <c r="R23" s="243"/>
      <c r="S23" s="243"/>
      <c r="T23" s="243"/>
      <c r="U23" s="243"/>
    </row>
    <row r="24" spans="2:21">
      <c r="B24" s="145" t="str">
        <f t="shared" si="0"/>
        <v/>
      </c>
      <c r="C24" s="495">
        <f>IF(D11="","-",+C23+1)</f>
        <v>2024</v>
      </c>
      <c r="D24" s="508">
        <f>IF(F23+SUM(E$17:E23)=D$10,F23,D$10-SUM(E$17:E23))</f>
        <v>9026537.8003026173</v>
      </c>
      <c r="E24" s="509">
        <f t="shared" si="4"/>
        <v>335047.42424242425</v>
      </c>
      <c r="F24" s="510">
        <f t="shared" si="5"/>
        <v>8691490.3760601934</v>
      </c>
      <c r="G24" s="511">
        <f t="shared" si="6"/>
        <v>1351697.0189443228</v>
      </c>
      <c r="H24" s="477">
        <f t="shared" si="7"/>
        <v>1351697.0189443228</v>
      </c>
      <c r="I24" s="500">
        <f t="shared" si="3"/>
        <v>0</v>
      </c>
      <c r="J24" s="500"/>
      <c r="K24" s="512"/>
      <c r="L24" s="504">
        <f t="shared" si="8"/>
        <v>0</v>
      </c>
      <c r="M24" s="512"/>
      <c r="N24" s="504">
        <f t="shared" si="1"/>
        <v>0</v>
      </c>
      <c r="O24" s="504">
        <f t="shared" si="2"/>
        <v>0</v>
      </c>
      <c r="P24" s="278"/>
      <c r="R24" s="243"/>
      <c r="S24" s="243"/>
      <c r="T24" s="243"/>
      <c r="U24" s="243"/>
    </row>
    <row r="25" spans="2:21">
      <c r="B25" s="145" t="str">
        <f t="shared" si="0"/>
        <v/>
      </c>
      <c r="C25" s="495">
        <f>IF(D11="","-",+C24+1)</f>
        <v>2025</v>
      </c>
      <c r="D25" s="508">
        <f>IF(F24+SUM(E$17:E24)=D$10,F24,D$10-SUM(E$17:E24))</f>
        <v>8691490.3760601934</v>
      </c>
      <c r="E25" s="509">
        <f t="shared" si="4"/>
        <v>335047.42424242425</v>
      </c>
      <c r="F25" s="510">
        <f t="shared" si="5"/>
        <v>8356442.9518177696</v>
      </c>
      <c r="G25" s="511">
        <f t="shared" si="6"/>
        <v>1313247.3873406891</v>
      </c>
      <c r="H25" s="477">
        <f t="shared" si="7"/>
        <v>1313247.3873406891</v>
      </c>
      <c r="I25" s="500">
        <f t="shared" si="3"/>
        <v>0</v>
      </c>
      <c r="J25" s="500"/>
      <c r="K25" s="512"/>
      <c r="L25" s="504">
        <f t="shared" si="8"/>
        <v>0</v>
      </c>
      <c r="M25" s="512"/>
      <c r="N25" s="504">
        <f t="shared" si="1"/>
        <v>0</v>
      </c>
      <c r="O25" s="504">
        <f t="shared" si="2"/>
        <v>0</v>
      </c>
      <c r="P25" s="278"/>
      <c r="R25" s="243"/>
      <c r="S25" s="243"/>
      <c r="T25" s="243"/>
      <c r="U25" s="243"/>
    </row>
    <row r="26" spans="2:21">
      <c r="B26" s="145" t="str">
        <f t="shared" si="0"/>
        <v/>
      </c>
      <c r="C26" s="495">
        <f>IF(D11="","-",+C25+1)</f>
        <v>2026</v>
      </c>
      <c r="D26" s="508">
        <f>IF(F25+SUM(E$17:E25)=D$10,F25,D$10-SUM(E$17:E25))</f>
        <v>8356442.9518177696</v>
      </c>
      <c r="E26" s="509">
        <f t="shared" si="4"/>
        <v>335047.42424242425</v>
      </c>
      <c r="F26" s="510">
        <f t="shared" si="5"/>
        <v>8021395.5275753457</v>
      </c>
      <c r="G26" s="511">
        <f t="shared" si="6"/>
        <v>1274797.7557370556</v>
      </c>
      <c r="H26" s="477">
        <f t="shared" si="7"/>
        <v>1274797.7557370556</v>
      </c>
      <c r="I26" s="500">
        <f t="shared" si="3"/>
        <v>0</v>
      </c>
      <c r="J26" s="500"/>
      <c r="K26" s="512"/>
      <c r="L26" s="504">
        <f t="shared" si="8"/>
        <v>0</v>
      </c>
      <c r="M26" s="512"/>
      <c r="N26" s="504">
        <f t="shared" si="1"/>
        <v>0</v>
      </c>
      <c r="O26" s="504">
        <f t="shared" si="2"/>
        <v>0</v>
      </c>
      <c r="P26" s="278"/>
      <c r="R26" s="243"/>
      <c r="S26" s="243"/>
      <c r="T26" s="243"/>
      <c r="U26" s="243"/>
    </row>
    <row r="27" spans="2:21">
      <c r="B27" s="145" t="str">
        <f t="shared" si="0"/>
        <v/>
      </c>
      <c r="C27" s="495">
        <f>IF(D11="","-",+C26+1)</f>
        <v>2027</v>
      </c>
      <c r="D27" s="508">
        <f>IF(F26+SUM(E$17:E26)=D$10,F26,D$10-SUM(E$17:E26))</f>
        <v>8021395.5275753457</v>
      </c>
      <c r="E27" s="509">
        <f t="shared" si="4"/>
        <v>335047.42424242425</v>
      </c>
      <c r="F27" s="510">
        <f t="shared" si="5"/>
        <v>7686348.1033329219</v>
      </c>
      <c r="G27" s="511">
        <f t="shared" si="6"/>
        <v>1236348.1241334218</v>
      </c>
      <c r="H27" s="477">
        <f t="shared" si="7"/>
        <v>1236348.1241334218</v>
      </c>
      <c r="I27" s="500">
        <f t="shared" si="3"/>
        <v>0</v>
      </c>
      <c r="J27" s="500"/>
      <c r="K27" s="512"/>
      <c r="L27" s="504">
        <f t="shared" si="8"/>
        <v>0</v>
      </c>
      <c r="M27" s="512"/>
      <c r="N27" s="504">
        <f t="shared" si="1"/>
        <v>0</v>
      </c>
      <c r="O27" s="504">
        <f t="shared" si="2"/>
        <v>0</v>
      </c>
      <c r="P27" s="278"/>
      <c r="R27" s="243"/>
      <c r="S27" s="243"/>
      <c r="T27" s="243"/>
      <c r="U27" s="243"/>
    </row>
    <row r="28" spans="2:21">
      <c r="B28" s="145" t="str">
        <f t="shared" si="0"/>
        <v/>
      </c>
      <c r="C28" s="495">
        <f>IF(D11="","-",+C27+1)</f>
        <v>2028</v>
      </c>
      <c r="D28" s="508">
        <f>IF(F27+SUM(E$17:E27)=D$10,F27,D$10-SUM(E$17:E27))</f>
        <v>7686348.1033329219</v>
      </c>
      <c r="E28" s="509">
        <f t="shared" si="4"/>
        <v>335047.42424242425</v>
      </c>
      <c r="F28" s="510">
        <f t="shared" si="5"/>
        <v>7351300.679090498</v>
      </c>
      <c r="G28" s="511">
        <f t="shared" si="6"/>
        <v>1197898.4925297883</v>
      </c>
      <c r="H28" s="477">
        <f t="shared" si="7"/>
        <v>1197898.4925297883</v>
      </c>
      <c r="I28" s="500">
        <f t="shared" si="3"/>
        <v>0</v>
      </c>
      <c r="J28" s="500"/>
      <c r="K28" s="512"/>
      <c r="L28" s="504">
        <f t="shared" si="8"/>
        <v>0</v>
      </c>
      <c r="M28" s="512"/>
      <c r="N28" s="504">
        <f t="shared" si="1"/>
        <v>0</v>
      </c>
      <c r="O28" s="504">
        <f t="shared" si="2"/>
        <v>0</v>
      </c>
      <c r="P28" s="278"/>
      <c r="R28" s="243"/>
      <c r="S28" s="243"/>
      <c r="T28" s="243"/>
      <c r="U28" s="243"/>
    </row>
    <row r="29" spans="2:21">
      <c r="B29" s="145" t="str">
        <f t="shared" si="0"/>
        <v/>
      </c>
      <c r="C29" s="495">
        <f>IF(D11="","-",+C28+1)</f>
        <v>2029</v>
      </c>
      <c r="D29" s="508">
        <f>IF(F28+SUM(E$17:E28)=D$10,F28,D$10-SUM(E$17:E28))</f>
        <v>7351300.679090498</v>
      </c>
      <c r="E29" s="509">
        <f t="shared" si="4"/>
        <v>335047.42424242425</v>
      </c>
      <c r="F29" s="510">
        <f t="shared" si="5"/>
        <v>7016253.2548480742</v>
      </c>
      <c r="G29" s="511">
        <f t="shared" si="6"/>
        <v>1159448.8609261545</v>
      </c>
      <c r="H29" s="477">
        <f t="shared" si="7"/>
        <v>1159448.8609261545</v>
      </c>
      <c r="I29" s="500">
        <f t="shared" si="3"/>
        <v>0</v>
      </c>
      <c r="J29" s="500"/>
      <c r="K29" s="512"/>
      <c r="L29" s="504">
        <f t="shared" si="8"/>
        <v>0</v>
      </c>
      <c r="M29" s="512"/>
      <c r="N29" s="504">
        <f t="shared" si="1"/>
        <v>0</v>
      </c>
      <c r="O29" s="504">
        <f t="shared" si="2"/>
        <v>0</v>
      </c>
      <c r="P29" s="278"/>
      <c r="R29" s="243"/>
      <c r="S29" s="243"/>
      <c r="T29" s="243"/>
      <c r="U29" s="243"/>
    </row>
    <row r="30" spans="2:21">
      <c r="B30" s="145" t="str">
        <f t="shared" si="0"/>
        <v/>
      </c>
      <c r="C30" s="495">
        <f>IF(D11="","-",+C29+1)</f>
        <v>2030</v>
      </c>
      <c r="D30" s="508">
        <f>IF(F29+SUM(E$17:E29)=D$10,F29,D$10-SUM(E$17:E29))</f>
        <v>7016253.2548480742</v>
      </c>
      <c r="E30" s="509">
        <f t="shared" si="4"/>
        <v>335047.42424242425</v>
      </c>
      <c r="F30" s="510">
        <f t="shared" si="5"/>
        <v>6681205.8306056503</v>
      </c>
      <c r="G30" s="511">
        <f t="shared" si="6"/>
        <v>1120999.229322521</v>
      </c>
      <c r="H30" s="477">
        <f t="shared" si="7"/>
        <v>1120999.229322521</v>
      </c>
      <c r="I30" s="500">
        <f t="shared" si="3"/>
        <v>0</v>
      </c>
      <c r="J30" s="500"/>
      <c r="K30" s="512"/>
      <c r="L30" s="504">
        <f t="shared" si="8"/>
        <v>0</v>
      </c>
      <c r="M30" s="512"/>
      <c r="N30" s="504">
        <f t="shared" si="1"/>
        <v>0</v>
      </c>
      <c r="O30" s="504">
        <f t="shared" si="2"/>
        <v>0</v>
      </c>
      <c r="P30" s="278"/>
      <c r="R30" s="243"/>
      <c r="S30" s="243"/>
      <c r="T30" s="243"/>
      <c r="U30" s="243"/>
    </row>
    <row r="31" spans="2:21">
      <c r="B31" s="145" t="str">
        <f t="shared" si="0"/>
        <v/>
      </c>
      <c r="C31" s="495">
        <f>IF(D11="","-",+C30+1)</f>
        <v>2031</v>
      </c>
      <c r="D31" s="508">
        <f>IF(F30+SUM(E$17:E30)=D$10,F30,D$10-SUM(E$17:E30))</f>
        <v>6681205.8306056503</v>
      </c>
      <c r="E31" s="509">
        <f t="shared" si="4"/>
        <v>335047.42424242425</v>
      </c>
      <c r="F31" s="510">
        <f t="shared" si="5"/>
        <v>6346158.4063632265</v>
      </c>
      <c r="G31" s="511">
        <f t="shared" si="6"/>
        <v>1082549.5977188873</v>
      </c>
      <c r="H31" s="477">
        <f t="shared" si="7"/>
        <v>1082549.5977188873</v>
      </c>
      <c r="I31" s="500">
        <f t="shared" si="3"/>
        <v>0</v>
      </c>
      <c r="J31" s="500"/>
      <c r="K31" s="512"/>
      <c r="L31" s="504">
        <f t="shared" si="8"/>
        <v>0</v>
      </c>
      <c r="M31" s="512"/>
      <c r="N31" s="504">
        <f t="shared" si="1"/>
        <v>0</v>
      </c>
      <c r="O31" s="504">
        <f t="shared" si="2"/>
        <v>0</v>
      </c>
      <c r="P31" s="278"/>
      <c r="Q31" s="220"/>
      <c r="R31" s="278"/>
      <c r="S31" s="278"/>
      <c r="T31" s="278"/>
      <c r="U31" s="243"/>
    </row>
    <row r="32" spans="2:21">
      <c r="B32" s="145" t="str">
        <f t="shared" si="0"/>
        <v/>
      </c>
      <c r="C32" s="495">
        <f>IF(D12="","-",+C31+1)</f>
        <v>2032</v>
      </c>
      <c r="D32" s="508">
        <f>IF(F31+SUM(E$17:E31)=D$10,F31,D$10-SUM(E$17:E31))</f>
        <v>6346158.4063632265</v>
      </c>
      <c r="E32" s="509">
        <f t="shared" si="4"/>
        <v>335047.42424242425</v>
      </c>
      <c r="F32" s="510">
        <f>+D32-E32</f>
        <v>6011110.9821208026</v>
      </c>
      <c r="G32" s="511">
        <f t="shared" si="6"/>
        <v>1044099.9661152537</v>
      </c>
      <c r="H32" s="477">
        <f t="shared" si="7"/>
        <v>1044099.9661152537</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2033</v>
      </c>
      <c r="D33" s="508">
        <f>IF(F32+SUM(E$17:E32)=D$10,F32,D$10-SUM(E$17:E32))</f>
        <v>6011110.9821208026</v>
      </c>
      <c r="E33" s="509">
        <f t="shared" si="4"/>
        <v>335047.42424242425</v>
      </c>
      <c r="F33" s="510">
        <f>+D33-E33</f>
        <v>5676063.5578783788</v>
      </c>
      <c r="G33" s="511">
        <f t="shared" si="6"/>
        <v>1005650.3345116202</v>
      </c>
      <c r="H33" s="477">
        <f t="shared" si="7"/>
        <v>1005650.3345116202</v>
      </c>
      <c r="I33" s="500">
        <f>H33-G33</f>
        <v>0</v>
      </c>
      <c r="J33" s="500"/>
      <c r="K33" s="512"/>
      <c r="L33" s="504">
        <f>IF(K33&lt;&gt;0,+G33-K33,0)</f>
        <v>0</v>
      </c>
      <c r="M33" s="512"/>
      <c r="N33" s="504">
        <f>IF(M33&lt;&gt;0,+H33-M33,0)</f>
        <v>0</v>
      </c>
      <c r="O33" s="504">
        <f>+N33-L33</f>
        <v>0</v>
      </c>
      <c r="P33" s="278"/>
      <c r="R33" s="243"/>
      <c r="S33" s="243"/>
      <c r="T33" s="243"/>
      <c r="U33" s="243"/>
    </row>
    <row r="34" spans="2:21">
      <c r="B34" s="145" t="str">
        <f t="shared" si="0"/>
        <v/>
      </c>
      <c r="C34" s="513">
        <f>IF(D11="","-",+C33+1)</f>
        <v>2034</v>
      </c>
      <c r="D34" s="514">
        <f>IF(F33+SUM(E$17:E33)=D$10,F33,D$10-SUM(E$17:E33))</f>
        <v>5676063.5578783788</v>
      </c>
      <c r="E34" s="515">
        <f t="shared" si="4"/>
        <v>335047.42424242425</v>
      </c>
      <c r="F34" s="516">
        <f t="shared" si="5"/>
        <v>5341016.1336359549</v>
      </c>
      <c r="G34" s="511">
        <f t="shared" si="6"/>
        <v>967200.70290798647</v>
      </c>
      <c r="H34" s="477">
        <f t="shared" si="7"/>
        <v>967200.70290798647</v>
      </c>
      <c r="I34" s="519">
        <f t="shared" si="3"/>
        <v>0</v>
      </c>
      <c r="J34" s="519"/>
      <c r="K34" s="520"/>
      <c r="L34" s="521">
        <f t="shared" si="8"/>
        <v>0</v>
      </c>
      <c r="M34" s="520"/>
      <c r="N34" s="521">
        <f t="shared" si="1"/>
        <v>0</v>
      </c>
      <c r="O34" s="521">
        <f t="shared" si="2"/>
        <v>0</v>
      </c>
      <c r="P34" s="522"/>
      <c r="Q34" s="216"/>
      <c r="R34" s="522"/>
      <c r="S34" s="522"/>
      <c r="T34" s="522"/>
      <c r="U34" s="243"/>
    </row>
    <row r="35" spans="2:21">
      <c r="B35" s="145" t="str">
        <f t="shared" si="0"/>
        <v/>
      </c>
      <c r="C35" s="495">
        <f>IF(D11="","-",+C34+1)</f>
        <v>2035</v>
      </c>
      <c r="D35" s="508">
        <f>IF(F34+SUM(E$17:E34)=D$10,F34,D$10-SUM(E$17:E34))</f>
        <v>5341016.1336359549</v>
      </c>
      <c r="E35" s="509">
        <f t="shared" si="4"/>
        <v>335047.42424242425</v>
      </c>
      <c r="F35" s="510">
        <f t="shared" si="5"/>
        <v>5005968.7093935311</v>
      </c>
      <c r="G35" s="511">
        <f t="shared" si="6"/>
        <v>928751.07130435295</v>
      </c>
      <c r="H35" s="477">
        <f t="shared" si="7"/>
        <v>928751.07130435295</v>
      </c>
      <c r="I35" s="500">
        <f t="shared" si="3"/>
        <v>0</v>
      </c>
      <c r="J35" s="500"/>
      <c r="K35" s="512"/>
      <c r="L35" s="504">
        <f t="shared" si="8"/>
        <v>0</v>
      </c>
      <c r="M35" s="512"/>
      <c r="N35" s="504">
        <f t="shared" si="1"/>
        <v>0</v>
      </c>
      <c r="O35" s="504">
        <f t="shared" si="2"/>
        <v>0</v>
      </c>
      <c r="P35" s="278"/>
      <c r="R35" s="243"/>
      <c r="S35" s="243"/>
      <c r="T35" s="243"/>
      <c r="U35" s="243"/>
    </row>
    <row r="36" spans="2:21">
      <c r="B36" s="145" t="str">
        <f t="shared" si="0"/>
        <v/>
      </c>
      <c r="C36" s="495">
        <f>IF(D11="","-",+C35+1)</f>
        <v>2036</v>
      </c>
      <c r="D36" s="508">
        <f>IF(F35+SUM(E$17:E35)=D$10,F35,D$10-SUM(E$17:E35))</f>
        <v>5005968.7093935311</v>
      </c>
      <c r="E36" s="509">
        <f t="shared" si="4"/>
        <v>335047.42424242425</v>
      </c>
      <c r="F36" s="510">
        <f t="shared" si="5"/>
        <v>4670921.2851511072</v>
      </c>
      <c r="G36" s="511">
        <f t="shared" si="6"/>
        <v>890301.4397007192</v>
      </c>
      <c r="H36" s="477">
        <f t="shared" si="7"/>
        <v>890301.4397007192</v>
      </c>
      <c r="I36" s="500">
        <f t="shared" si="3"/>
        <v>0</v>
      </c>
      <c r="J36" s="500"/>
      <c r="K36" s="512"/>
      <c r="L36" s="504">
        <f t="shared" si="8"/>
        <v>0</v>
      </c>
      <c r="M36" s="512"/>
      <c r="N36" s="504">
        <f t="shared" si="1"/>
        <v>0</v>
      </c>
      <c r="O36" s="504">
        <f t="shared" si="2"/>
        <v>0</v>
      </c>
      <c r="P36" s="278"/>
      <c r="R36" s="243"/>
      <c r="S36" s="243"/>
      <c r="T36" s="243"/>
      <c r="U36" s="243"/>
    </row>
    <row r="37" spans="2:21">
      <c r="B37" s="145" t="str">
        <f t="shared" si="0"/>
        <v/>
      </c>
      <c r="C37" s="495">
        <f>IF(D11="","-",+C36+1)</f>
        <v>2037</v>
      </c>
      <c r="D37" s="508">
        <f>IF(F36+SUM(E$17:E36)=D$10,F36,D$10-SUM(E$17:E36))</f>
        <v>4670921.2851511072</v>
      </c>
      <c r="E37" s="509">
        <f t="shared" si="4"/>
        <v>335047.42424242425</v>
      </c>
      <c r="F37" s="510">
        <f t="shared" si="5"/>
        <v>4335873.8609086834</v>
      </c>
      <c r="G37" s="511">
        <f t="shared" si="6"/>
        <v>851851.80809708568</v>
      </c>
      <c r="H37" s="477">
        <f t="shared" si="7"/>
        <v>851851.80809708568</v>
      </c>
      <c r="I37" s="500">
        <f t="shared" si="3"/>
        <v>0</v>
      </c>
      <c r="J37" s="500"/>
      <c r="K37" s="512"/>
      <c r="L37" s="504">
        <f t="shared" si="8"/>
        <v>0</v>
      </c>
      <c r="M37" s="512"/>
      <c r="N37" s="504">
        <f t="shared" si="1"/>
        <v>0</v>
      </c>
      <c r="O37" s="504">
        <f t="shared" si="2"/>
        <v>0</v>
      </c>
      <c r="P37" s="278"/>
      <c r="R37" s="243"/>
      <c r="S37" s="243"/>
      <c r="T37" s="243"/>
      <c r="U37" s="243"/>
    </row>
    <row r="38" spans="2:21">
      <c r="B38" s="145" t="str">
        <f t="shared" si="0"/>
        <v/>
      </c>
      <c r="C38" s="495">
        <f>IF(D11="","-",+C37+1)</f>
        <v>2038</v>
      </c>
      <c r="D38" s="508">
        <f>IF(F37+SUM(E$17:E37)=D$10,F37,D$10-SUM(E$17:E37))</f>
        <v>4335873.8609086834</v>
      </c>
      <c r="E38" s="509">
        <f t="shared" si="4"/>
        <v>335047.42424242425</v>
      </c>
      <c r="F38" s="510">
        <f t="shared" si="5"/>
        <v>4000826.4366662591</v>
      </c>
      <c r="G38" s="511">
        <f t="shared" si="6"/>
        <v>813402.17649345205</v>
      </c>
      <c r="H38" s="477">
        <f t="shared" si="7"/>
        <v>813402.17649345205</v>
      </c>
      <c r="I38" s="500">
        <f t="shared" si="3"/>
        <v>0</v>
      </c>
      <c r="J38" s="500"/>
      <c r="K38" s="512"/>
      <c r="L38" s="504">
        <f t="shared" si="8"/>
        <v>0</v>
      </c>
      <c r="M38" s="512"/>
      <c r="N38" s="504">
        <f t="shared" si="1"/>
        <v>0</v>
      </c>
      <c r="O38" s="504">
        <f t="shared" si="2"/>
        <v>0</v>
      </c>
      <c r="P38" s="278"/>
      <c r="R38" s="243"/>
      <c r="S38" s="243"/>
      <c r="T38" s="243"/>
      <c r="U38" s="243"/>
    </row>
    <row r="39" spans="2:21">
      <c r="B39" s="145" t="str">
        <f t="shared" si="0"/>
        <v/>
      </c>
      <c r="C39" s="495">
        <f>IF(D11="","-",+C38+1)</f>
        <v>2039</v>
      </c>
      <c r="D39" s="508">
        <f>IF(F38+SUM(E$17:E38)=D$10,F38,D$10-SUM(E$17:E38))</f>
        <v>4000826.4366662591</v>
      </c>
      <c r="E39" s="509">
        <f t="shared" si="4"/>
        <v>335047.42424242425</v>
      </c>
      <c r="F39" s="510">
        <f t="shared" si="5"/>
        <v>3665779.0124238348</v>
      </c>
      <c r="G39" s="511">
        <f t="shared" si="6"/>
        <v>774952.54488981829</v>
      </c>
      <c r="H39" s="477">
        <f t="shared" si="7"/>
        <v>774952.54488981829</v>
      </c>
      <c r="I39" s="500">
        <f t="shared" si="3"/>
        <v>0</v>
      </c>
      <c r="J39" s="500"/>
      <c r="K39" s="512"/>
      <c r="L39" s="504">
        <f t="shared" si="8"/>
        <v>0</v>
      </c>
      <c r="M39" s="512"/>
      <c r="N39" s="504">
        <f t="shared" si="1"/>
        <v>0</v>
      </c>
      <c r="O39" s="504">
        <f t="shared" si="2"/>
        <v>0</v>
      </c>
      <c r="P39" s="278"/>
      <c r="R39" s="243"/>
      <c r="S39" s="243"/>
      <c r="T39" s="243"/>
      <c r="U39" s="243"/>
    </row>
    <row r="40" spans="2:21">
      <c r="B40" s="145" t="str">
        <f t="shared" si="0"/>
        <v/>
      </c>
      <c r="C40" s="495">
        <f>IF(D11="","-",+C39+1)</f>
        <v>2040</v>
      </c>
      <c r="D40" s="508">
        <f>IF(F39+SUM(E$17:E39)=D$10,F39,D$10-SUM(E$17:E39))</f>
        <v>3665779.0124238348</v>
      </c>
      <c r="E40" s="509">
        <f t="shared" si="4"/>
        <v>335047.42424242425</v>
      </c>
      <c r="F40" s="510">
        <f t="shared" si="5"/>
        <v>3330731.5881814105</v>
      </c>
      <c r="G40" s="511">
        <f t="shared" si="6"/>
        <v>736502.91328618466</v>
      </c>
      <c r="H40" s="477">
        <f t="shared" si="7"/>
        <v>736502.91328618466</v>
      </c>
      <c r="I40" s="500">
        <f t="shared" si="3"/>
        <v>0</v>
      </c>
      <c r="J40" s="500"/>
      <c r="K40" s="512"/>
      <c r="L40" s="504">
        <f t="shared" si="8"/>
        <v>0</v>
      </c>
      <c r="M40" s="512"/>
      <c r="N40" s="504">
        <f t="shared" si="1"/>
        <v>0</v>
      </c>
      <c r="O40" s="504">
        <f t="shared" si="2"/>
        <v>0</v>
      </c>
      <c r="P40" s="278"/>
      <c r="R40" s="243"/>
      <c r="S40" s="243"/>
      <c r="T40" s="243"/>
      <c r="U40" s="243"/>
    </row>
    <row r="41" spans="2:21">
      <c r="B41" s="145" t="str">
        <f t="shared" si="0"/>
        <v/>
      </c>
      <c r="C41" s="495">
        <f>IF(D12="","-",+C40+1)</f>
        <v>2041</v>
      </c>
      <c r="D41" s="508">
        <f>IF(F40+SUM(E$17:E40)=D$10,F40,D$10-SUM(E$17:E40))</f>
        <v>3330731.5881814105</v>
      </c>
      <c r="E41" s="509">
        <f t="shared" ref="E41:E73" si="9">IF(+I$14&lt;F40,I$14,D41)</f>
        <v>335047.42424242425</v>
      </c>
      <c r="F41" s="510">
        <f>+D41-E41</f>
        <v>2995684.1639389861</v>
      </c>
      <c r="G41" s="511">
        <f t="shared" si="6"/>
        <v>698053.28168255091</v>
      </c>
      <c r="H41" s="477">
        <f t="shared" si="7"/>
        <v>698053.28168255091</v>
      </c>
      <c r="I41" s="500">
        <f>H41-G41</f>
        <v>0</v>
      </c>
      <c r="J41" s="500"/>
      <c r="K41" s="512"/>
      <c r="L41" s="504">
        <f>IF(K41&lt;&gt;0,+G41-K41,0)</f>
        <v>0</v>
      </c>
      <c r="M41" s="512"/>
      <c r="N41" s="504">
        <f>IF(M41&lt;&gt;0,+H41-M41,0)</f>
        <v>0</v>
      </c>
      <c r="O41" s="504">
        <f>+N41-L41</f>
        <v>0</v>
      </c>
      <c r="P41" s="278"/>
      <c r="R41" s="243"/>
      <c r="S41" s="243"/>
      <c r="T41" s="243"/>
      <c r="U41" s="243"/>
    </row>
    <row r="42" spans="2:21">
      <c r="B42" s="145" t="str">
        <f t="shared" si="0"/>
        <v/>
      </c>
      <c r="C42" s="495">
        <f>IF(D13="","-",+C41+1)</f>
        <v>2042</v>
      </c>
      <c r="D42" s="508">
        <f>IF(F41+SUM(E$17:E41)=D$10,F41,D$10-SUM(E$17:E41))</f>
        <v>2995684.1639389861</v>
      </c>
      <c r="E42" s="509">
        <f t="shared" si="9"/>
        <v>335047.42424242425</v>
      </c>
      <c r="F42" s="510">
        <f>+D42-E42</f>
        <v>2660636.7396965618</v>
      </c>
      <c r="G42" s="511">
        <f t="shared" si="6"/>
        <v>659603.65007891739</v>
      </c>
      <c r="H42" s="477">
        <f t="shared" si="7"/>
        <v>659603.65007891739</v>
      </c>
      <c r="I42" s="500">
        <f>H42-G42</f>
        <v>0</v>
      </c>
      <c r="J42" s="500"/>
      <c r="K42" s="512"/>
      <c r="L42" s="504">
        <f>IF(K42&lt;&gt;0,+G42-K42,0)</f>
        <v>0</v>
      </c>
      <c r="M42" s="512"/>
      <c r="N42" s="504">
        <f>IF(M42&lt;&gt;0,+H42-M42,0)</f>
        <v>0</v>
      </c>
      <c r="O42" s="504">
        <f>+N42-L42</f>
        <v>0</v>
      </c>
      <c r="P42" s="278"/>
      <c r="R42" s="243"/>
      <c r="S42" s="243"/>
      <c r="T42" s="243"/>
      <c r="U42" s="243"/>
    </row>
    <row r="43" spans="2:21">
      <c r="B43" s="145" t="str">
        <f t="shared" si="0"/>
        <v/>
      </c>
      <c r="C43" s="495">
        <f>IF(D14="","-",+C42+1)</f>
        <v>2043</v>
      </c>
      <c r="D43" s="508">
        <f>IF(F42+SUM(E$17:E42)=D$10,F42,D$10-SUM(E$17:E42))</f>
        <v>2660636.7396965618</v>
      </c>
      <c r="E43" s="509">
        <f t="shared" si="9"/>
        <v>335047.42424242425</v>
      </c>
      <c r="F43" s="510">
        <f>+D43-E43</f>
        <v>2325589.3154541375</v>
      </c>
      <c r="G43" s="511">
        <f t="shared" si="6"/>
        <v>621154.01847528364</v>
      </c>
      <c r="H43" s="477">
        <f t="shared" si="7"/>
        <v>621154.01847528364</v>
      </c>
      <c r="I43" s="500">
        <f>H43-G43</f>
        <v>0</v>
      </c>
      <c r="J43" s="500"/>
      <c r="K43" s="512"/>
      <c r="L43" s="504">
        <f>IF(K43&lt;&gt;0,+G43-K43,0)</f>
        <v>0</v>
      </c>
      <c r="M43" s="512"/>
      <c r="N43" s="504">
        <f>IF(M43&lt;&gt;0,+H43-M43,0)</f>
        <v>0</v>
      </c>
      <c r="O43" s="504">
        <f>+N43-L43</f>
        <v>0</v>
      </c>
      <c r="P43" s="278"/>
      <c r="R43" s="243"/>
      <c r="S43" s="243"/>
      <c r="T43" s="243"/>
      <c r="U43" s="243"/>
    </row>
    <row r="44" spans="2:21">
      <c r="B44" s="145" t="str">
        <f t="shared" si="0"/>
        <v/>
      </c>
      <c r="C44" s="495">
        <f>IF(D11="","-",+C43+1)</f>
        <v>2044</v>
      </c>
      <c r="D44" s="508">
        <f>IF(F43+SUM(E$17:E43)=D$10,F43,D$10-SUM(E$17:E43))</f>
        <v>2325589.3154541375</v>
      </c>
      <c r="E44" s="509">
        <f t="shared" si="9"/>
        <v>335047.42424242425</v>
      </c>
      <c r="F44" s="510">
        <f t="shared" si="5"/>
        <v>1990541.8912117132</v>
      </c>
      <c r="G44" s="511">
        <f t="shared" si="6"/>
        <v>582704.38687165</v>
      </c>
      <c r="H44" s="477">
        <f t="shared" si="7"/>
        <v>582704.38687165</v>
      </c>
      <c r="I44" s="500">
        <f t="shared" si="3"/>
        <v>0</v>
      </c>
      <c r="J44" s="500"/>
      <c r="K44" s="512"/>
      <c r="L44" s="504">
        <f t="shared" si="8"/>
        <v>0</v>
      </c>
      <c r="M44" s="512"/>
      <c r="N44" s="504">
        <f t="shared" si="1"/>
        <v>0</v>
      </c>
      <c r="O44" s="504">
        <f t="shared" si="2"/>
        <v>0</v>
      </c>
      <c r="P44" s="278"/>
      <c r="R44" s="243"/>
      <c r="S44" s="243"/>
      <c r="T44" s="243"/>
      <c r="U44" s="243"/>
    </row>
    <row r="45" spans="2:21">
      <c r="B45" s="145" t="str">
        <f t="shared" si="0"/>
        <v/>
      </c>
      <c r="C45" s="495">
        <f>IF(D11="","-",+C44+1)</f>
        <v>2045</v>
      </c>
      <c r="D45" s="508">
        <f>IF(F44+SUM(E$17:E44)=D$10,F44,D$10-SUM(E$17:E44))</f>
        <v>1990541.8912117132</v>
      </c>
      <c r="E45" s="509">
        <f t="shared" si="9"/>
        <v>335047.42424242425</v>
      </c>
      <c r="F45" s="510">
        <f t="shared" si="5"/>
        <v>1655494.4669692889</v>
      </c>
      <c r="G45" s="511">
        <f t="shared" si="6"/>
        <v>544254.75526801636</v>
      </c>
      <c r="H45" s="477">
        <f t="shared" si="7"/>
        <v>544254.75526801636</v>
      </c>
      <c r="I45" s="500">
        <f t="shared" si="3"/>
        <v>0</v>
      </c>
      <c r="J45" s="500"/>
      <c r="K45" s="512"/>
      <c r="L45" s="504">
        <f t="shared" si="8"/>
        <v>0</v>
      </c>
      <c r="M45" s="512"/>
      <c r="N45" s="504">
        <f t="shared" si="1"/>
        <v>0</v>
      </c>
      <c r="O45" s="504">
        <f t="shared" si="2"/>
        <v>0</v>
      </c>
      <c r="P45" s="278"/>
      <c r="R45" s="243"/>
      <c r="S45" s="243"/>
      <c r="T45" s="243"/>
      <c r="U45" s="243"/>
    </row>
    <row r="46" spans="2:21">
      <c r="B46" s="145" t="str">
        <f t="shared" si="0"/>
        <v/>
      </c>
      <c r="C46" s="495">
        <f>IF(D11="","-",+C45+1)</f>
        <v>2046</v>
      </c>
      <c r="D46" s="508">
        <f>IF(F45+SUM(E$17:E45)=D$10,F45,D$10-SUM(E$17:E45))</f>
        <v>1655494.4669692889</v>
      </c>
      <c r="E46" s="509">
        <f t="shared" si="9"/>
        <v>335047.42424242425</v>
      </c>
      <c r="F46" s="510">
        <f t="shared" si="5"/>
        <v>1320447.0427268646</v>
      </c>
      <c r="G46" s="511">
        <f t="shared" si="6"/>
        <v>505805.12366438261</v>
      </c>
      <c r="H46" s="477">
        <f t="shared" si="7"/>
        <v>505805.12366438261</v>
      </c>
      <c r="I46" s="500">
        <f t="shared" si="3"/>
        <v>0</v>
      </c>
      <c r="J46" s="500"/>
      <c r="K46" s="512"/>
      <c r="L46" s="504">
        <f t="shared" si="8"/>
        <v>0</v>
      </c>
      <c r="M46" s="512"/>
      <c r="N46" s="504">
        <f t="shared" si="1"/>
        <v>0</v>
      </c>
      <c r="O46" s="504">
        <f t="shared" si="2"/>
        <v>0</v>
      </c>
      <c r="P46" s="278"/>
      <c r="R46" s="243"/>
      <c r="S46" s="243"/>
      <c r="T46" s="243"/>
      <c r="U46" s="243"/>
    </row>
    <row r="47" spans="2:21">
      <c r="B47" s="145" t="str">
        <f t="shared" si="0"/>
        <v/>
      </c>
      <c r="C47" s="495">
        <f>IF(D11="","-",+C46+1)</f>
        <v>2047</v>
      </c>
      <c r="D47" s="508">
        <f>IF(F46+SUM(E$17:E46)=D$10,F46,D$10-SUM(E$17:E46))</f>
        <v>1320447.0427268646</v>
      </c>
      <c r="E47" s="509">
        <f t="shared" si="9"/>
        <v>335047.42424242425</v>
      </c>
      <c r="F47" s="510">
        <f t="shared" si="5"/>
        <v>985399.61848444026</v>
      </c>
      <c r="G47" s="511">
        <f t="shared" si="6"/>
        <v>467355.49206074898</v>
      </c>
      <c r="H47" s="477">
        <f t="shared" si="7"/>
        <v>467355.49206074898</v>
      </c>
      <c r="I47" s="500">
        <f t="shared" si="3"/>
        <v>0</v>
      </c>
      <c r="J47" s="500"/>
      <c r="K47" s="512"/>
      <c r="L47" s="504">
        <f t="shared" si="8"/>
        <v>0</v>
      </c>
      <c r="M47" s="512"/>
      <c r="N47" s="504">
        <f t="shared" si="1"/>
        <v>0</v>
      </c>
      <c r="O47" s="504">
        <f t="shared" si="2"/>
        <v>0</v>
      </c>
      <c r="P47" s="278"/>
      <c r="R47" s="243"/>
      <c r="S47" s="243"/>
      <c r="T47" s="243"/>
      <c r="U47" s="243"/>
    </row>
    <row r="48" spans="2:21">
      <c r="B48" s="145" t="str">
        <f t="shared" si="0"/>
        <v/>
      </c>
      <c r="C48" s="495">
        <f>IF(D11="","-",+C47+1)</f>
        <v>2048</v>
      </c>
      <c r="D48" s="508">
        <f>IF(F47+SUM(E$17:E47)=D$10,F47,D$10-SUM(E$17:E47))</f>
        <v>985399.61848444026</v>
      </c>
      <c r="E48" s="509">
        <f t="shared" si="9"/>
        <v>335047.42424242425</v>
      </c>
      <c r="F48" s="510">
        <f t="shared" si="5"/>
        <v>650352.19424201595</v>
      </c>
      <c r="G48" s="511">
        <f t="shared" si="6"/>
        <v>428905.86045711528</v>
      </c>
      <c r="H48" s="477">
        <f t="shared" si="7"/>
        <v>428905.86045711528</v>
      </c>
      <c r="I48" s="500">
        <f t="shared" si="3"/>
        <v>0</v>
      </c>
      <c r="J48" s="500"/>
      <c r="K48" s="512"/>
      <c r="L48" s="504">
        <f t="shared" si="8"/>
        <v>0</v>
      </c>
      <c r="M48" s="512"/>
      <c r="N48" s="504">
        <f t="shared" si="1"/>
        <v>0</v>
      </c>
      <c r="O48" s="504">
        <f t="shared" si="2"/>
        <v>0</v>
      </c>
      <c r="P48" s="278"/>
      <c r="R48" s="243"/>
      <c r="S48" s="243"/>
      <c r="T48" s="243"/>
      <c r="U48" s="243"/>
    </row>
    <row r="49" spans="2:21">
      <c r="B49" s="145" t="str">
        <f t="shared" si="0"/>
        <v/>
      </c>
      <c r="C49" s="495">
        <f>IF(D11="","-",+C48+1)</f>
        <v>2049</v>
      </c>
      <c r="D49" s="508">
        <f>IF(F48+SUM(E$17:E48)=D$10,F48,D$10-SUM(E$17:E48))</f>
        <v>650352.19424201595</v>
      </c>
      <c r="E49" s="509">
        <f t="shared" si="9"/>
        <v>335047.42424242425</v>
      </c>
      <c r="F49" s="510">
        <f t="shared" si="5"/>
        <v>315304.76999959169</v>
      </c>
      <c r="G49" s="511">
        <f t="shared" si="6"/>
        <v>390456.22885348159</v>
      </c>
      <c r="H49" s="477">
        <f t="shared" si="7"/>
        <v>390456.22885348159</v>
      </c>
      <c r="I49" s="500">
        <f t="shared" si="3"/>
        <v>0</v>
      </c>
      <c r="J49" s="500"/>
      <c r="K49" s="512"/>
      <c r="L49" s="504">
        <f t="shared" si="8"/>
        <v>0</v>
      </c>
      <c r="M49" s="512"/>
      <c r="N49" s="504">
        <f t="shared" si="1"/>
        <v>0</v>
      </c>
      <c r="O49" s="504">
        <f t="shared" si="2"/>
        <v>0</v>
      </c>
      <c r="P49" s="278"/>
      <c r="R49" s="243"/>
      <c r="S49" s="243"/>
      <c r="T49" s="243"/>
      <c r="U49" s="243"/>
    </row>
    <row r="50" spans="2:21">
      <c r="B50" s="145" t="str">
        <f t="shared" si="0"/>
        <v/>
      </c>
      <c r="C50" s="495">
        <f>IF(D11="","-",+C49+1)</f>
        <v>2050</v>
      </c>
      <c r="D50" s="508">
        <f>IF(F49+SUM(E$17:E49)=D$10,F49,D$10-SUM(E$17:E49))</f>
        <v>315304.76999959169</v>
      </c>
      <c r="E50" s="509">
        <f t="shared" si="9"/>
        <v>315304.76999959169</v>
      </c>
      <c r="F50" s="510">
        <f t="shared" si="5"/>
        <v>0</v>
      </c>
      <c r="G50" s="511">
        <f t="shared" si="6"/>
        <v>333396.76440421195</v>
      </c>
      <c r="H50" s="477">
        <f t="shared" si="7"/>
        <v>333396.76440421195</v>
      </c>
      <c r="I50" s="500">
        <f t="shared" si="3"/>
        <v>0</v>
      </c>
      <c r="J50" s="500"/>
      <c r="K50" s="512"/>
      <c r="L50" s="504">
        <f t="shared" si="8"/>
        <v>0</v>
      </c>
      <c r="M50" s="512"/>
      <c r="N50" s="504">
        <f t="shared" si="1"/>
        <v>0</v>
      </c>
      <c r="O50" s="504">
        <f t="shared" si="2"/>
        <v>0</v>
      </c>
      <c r="P50" s="278"/>
      <c r="R50" s="243"/>
      <c r="S50" s="243"/>
      <c r="T50" s="243"/>
      <c r="U50" s="243"/>
    </row>
    <row r="51" spans="2:21">
      <c r="B51" s="145" t="str">
        <f t="shared" si="0"/>
        <v/>
      </c>
      <c r="C51" s="495">
        <f>IF(D11="","-",+C50+1)</f>
        <v>2051</v>
      </c>
      <c r="D51" s="508">
        <f>IF(F50+SUM(E$17:E50)=D$10,F50,D$10-SUM(E$17:E50))</f>
        <v>0</v>
      </c>
      <c r="E51" s="509">
        <f t="shared" si="9"/>
        <v>0</v>
      </c>
      <c r="F51" s="510">
        <f t="shared" si="5"/>
        <v>0</v>
      </c>
      <c r="G51" s="511">
        <f t="shared" si="6"/>
        <v>0</v>
      </c>
      <c r="H51" s="477">
        <f t="shared" si="7"/>
        <v>0</v>
      </c>
      <c r="I51" s="500">
        <f t="shared" si="3"/>
        <v>0</v>
      </c>
      <c r="J51" s="500"/>
      <c r="K51" s="512"/>
      <c r="L51" s="504">
        <f t="shared" si="8"/>
        <v>0</v>
      </c>
      <c r="M51" s="512"/>
      <c r="N51" s="504">
        <f t="shared" si="1"/>
        <v>0</v>
      </c>
      <c r="O51" s="504">
        <f t="shared" si="2"/>
        <v>0</v>
      </c>
      <c r="P51" s="278"/>
      <c r="R51" s="243"/>
      <c r="S51" s="243"/>
      <c r="T51" s="243"/>
      <c r="U51" s="243"/>
    </row>
    <row r="52" spans="2:21">
      <c r="B52" s="145" t="str">
        <f t="shared" si="0"/>
        <v/>
      </c>
      <c r="C52" s="495">
        <f>IF(D11="","-",+C51+1)</f>
        <v>2052</v>
      </c>
      <c r="D52" s="508">
        <f>IF(F51+SUM(E$17:E51)=D$10,F51,D$10-SUM(E$17:E51))</f>
        <v>0</v>
      </c>
      <c r="E52" s="509">
        <f t="shared" si="9"/>
        <v>0</v>
      </c>
      <c r="F52" s="510">
        <f t="shared" si="5"/>
        <v>0</v>
      </c>
      <c r="G52" s="511">
        <f t="shared" si="6"/>
        <v>0</v>
      </c>
      <c r="H52" s="477">
        <f t="shared" si="7"/>
        <v>0</v>
      </c>
      <c r="I52" s="500">
        <f t="shared" si="3"/>
        <v>0</v>
      </c>
      <c r="J52" s="500"/>
      <c r="K52" s="512"/>
      <c r="L52" s="504">
        <f t="shared" si="8"/>
        <v>0</v>
      </c>
      <c r="M52" s="512"/>
      <c r="N52" s="504">
        <f t="shared" si="1"/>
        <v>0</v>
      </c>
      <c r="O52" s="504">
        <f t="shared" si="2"/>
        <v>0</v>
      </c>
      <c r="P52" s="278"/>
      <c r="R52" s="243"/>
      <c r="S52" s="243"/>
      <c r="T52" s="243"/>
      <c r="U52" s="243"/>
    </row>
    <row r="53" spans="2:21">
      <c r="B53" s="145" t="str">
        <f t="shared" si="0"/>
        <v/>
      </c>
      <c r="C53" s="495">
        <f>IF(D11="","-",+C52+1)</f>
        <v>2053</v>
      </c>
      <c r="D53" s="508">
        <f>IF(F52+SUM(E$17:E52)=D$10,F52,D$10-SUM(E$17:E52))</f>
        <v>0</v>
      </c>
      <c r="E53" s="509">
        <f t="shared" si="9"/>
        <v>0</v>
      </c>
      <c r="F53" s="510">
        <f t="shared" si="5"/>
        <v>0</v>
      </c>
      <c r="G53" s="511">
        <f t="shared" si="6"/>
        <v>0</v>
      </c>
      <c r="H53" s="477">
        <f t="shared" si="7"/>
        <v>0</v>
      </c>
      <c r="I53" s="500">
        <f t="shared" si="3"/>
        <v>0</v>
      </c>
      <c r="J53" s="500"/>
      <c r="K53" s="512"/>
      <c r="L53" s="504">
        <f t="shared" si="8"/>
        <v>0</v>
      </c>
      <c r="M53" s="512"/>
      <c r="N53" s="504">
        <f t="shared" si="1"/>
        <v>0</v>
      </c>
      <c r="O53" s="504">
        <f t="shared" si="2"/>
        <v>0</v>
      </c>
      <c r="P53" s="278"/>
      <c r="R53" s="243"/>
      <c r="S53" s="243"/>
      <c r="T53" s="243"/>
      <c r="U53" s="243"/>
    </row>
    <row r="54" spans="2:21">
      <c r="B54" s="145" t="str">
        <f t="shared" si="0"/>
        <v/>
      </c>
      <c r="C54" s="495">
        <f>IF(D11="","-",+C53+1)</f>
        <v>2054</v>
      </c>
      <c r="D54" s="508">
        <f>IF(F53+SUM(E$17:E53)=D$10,F53,D$10-SUM(E$17:E53))</f>
        <v>0</v>
      </c>
      <c r="E54" s="509">
        <f t="shared" si="9"/>
        <v>0</v>
      </c>
      <c r="F54" s="510">
        <f t="shared" si="5"/>
        <v>0</v>
      </c>
      <c r="G54" s="511">
        <f t="shared" si="6"/>
        <v>0</v>
      </c>
      <c r="H54" s="477">
        <f t="shared" si="7"/>
        <v>0</v>
      </c>
      <c r="I54" s="500">
        <f t="shared" si="3"/>
        <v>0</v>
      </c>
      <c r="J54" s="500"/>
      <c r="K54" s="512"/>
      <c r="L54" s="504">
        <f t="shared" si="8"/>
        <v>0</v>
      </c>
      <c r="M54" s="512"/>
      <c r="N54" s="504">
        <f t="shared" si="1"/>
        <v>0</v>
      </c>
      <c r="O54" s="504">
        <f t="shared" si="2"/>
        <v>0</v>
      </c>
      <c r="P54" s="278"/>
      <c r="R54" s="243"/>
      <c r="S54" s="243"/>
      <c r="T54" s="243"/>
      <c r="U54" s="243"/>
    </row>
    <row r="55" spans="2:21">
      <c r="B55" s="145" t="str">
        <f t="shared" si="0"/>
        <v/>
      </c>
      <c r="C55" s="495">
        <f>IF(D11="","-",+C54+1)</f>
        <v>2055</v>
      </c>
      <c r="D55" s="508">
        <f>IF(F54+SUM(E$17:E54)=D$10,F54,D$10-SUM(E$17:E54))</f>
        <v>0</v>
      </c>
      <c r="E55" s="509">
        <f t="shared" si="9"/>
        <v>0</v>
      </c>
      <c r="F55" s="510">
        <f t="shared" si="5"/>
        <v>0</v>
      </c>
      <c r="G55" s="511">
        <f t="shared" si="6"/>
        <v>0</v>
      </c>
      <c r="H55" s="477">
        <f t="shared" si="7"/>
        <v>0</v>
      </c>
      <c r="I55" s="500">
        <f t="shared" si="3"/>
        <v>0</v>
      </c>
      <c r="J55" s="500"/>
      <c r="K55" s="512"/>
      <c r="L55" s="504">
        <f t="shared" si="8"/>
        <v>0</v>
      </c>
      <c r="M55" s="512"/>
      <c r="N55" s="504">
        <f t="shared" si="1"/>
        <v>0</v>
      </c>
      <c r="O55" s="504">
        <f t="shared" si="2"/>
        <v>0</v>
      </c>
      <c r="P55" s="278"/>
      <c r="R55" s="243"/>
      <c r="S55" s="243"/>
      <c r="T55" s="243"/>
      <c r="U55" s="243"/>
    </row>
    <row r="56" spans="2:21">
      <c r="B56" s="145" t="str">
        <f t="shared" si="0"/>
        <v/>
      </c>
      <c r="C56" s="495">
        <f>IF(D11="","-",+C55+1)</f>
        <v>2056</v>
      </c>
      <c r="D56" s="508">
        <f>IF(F55+SUM(E$17:E55)=D$10,F55,D$10-SUM(E$17:E55))</f>
        <v>0</v>
      </c>
      <c r="E56" s="509">
        <f t="shared" si="9"/>
        <v>0</v>
      </c>
      <c r="F56" s="510">
        <f t="shared" si="5"/>
        <v>0</v>
      </c>
      <c r="G56" s="511">
        <f t="shared" si="6"/>
        <v>0</v>
      </c>
      <c r="H56" s="477">
        <f t="shared" si="7"/>
        <v>0</v>
      </c>
      <c r="I56" s="500">
        <f t="shared" si="3"/>
        <v>0</v>
      </c>
      <c r="J56" s="500"/>
      <c r="K56" s="512"/>
      <c r="L56" s="504">
        <f t="shared" si="8"/>
        <v>0</v>
      </c>
      <c r="M56" s="512"/>
      <c r="N56" s="504">
        <f t="shared" si="1"/>
        <v>0</v>
      </c>
      <c r="O56" s="504">
        <f t="shared" si="2"/>
        <v>0</v>
      </c>
      <c r="P56" s="278"/>
      <c r="R56" s="243"/>
      <c r="S56" s="243"/>
      <c r="T56" s="243"/>
      <c r="U56" s="243"/>
    </row>
    <row r="57" spans="2:21">
      <c r="B57" s="145" t="str">
        <f t="shared" si="0"/>
        <v/>
      </c>
      <c r="C57" s="495">
        <f>IF(D11="","-",+C56+1)</f>
        <v>2057</v>
      </c>
      <c r="D57" s="508">
        <f>IF(F56+SUM(E$17:E56)=D$10,F56,D$10-SUM(E$17:E56))</f>
        <v>0</v>
      </c>
      <c r="E57" s="509">
        <f t="shared" si="9"/>
        <v>0</v>
      </c>
      <c r="F57" s="510">
        <f t="shared" si="5"/>
        <v>0</v>
      </c>
      <c r="G57" s="511">
        <f t="shared" si="6"/>
        <v>0</v>
      </c>
      <c r="H57" s="477">
        <f t="shared" si="7"/>
        <v>0</v>
      </c>
      <c r="I57" s="500">
        <f t="shared" si="3"/>
        <v>0</v>
      </c>
      <c r="J57" s="500"/>
      <c r="K57" s="512"/>
      <c r="L57" s="504">
        <f t="shared" si="8"/>
        <v>0</v>
      </c>
      <c r="M57" s="512"/>
      <c r="N57" s="504">
        <f t="shared" si="1"/>
        <v>0</v>
      </c>
      <c r="O57" s="504">
        <f t="shared" si="2"/>
        <v>0</v>
      </c>
      <c r="P57" s="278"/>
      <c r="R57" s="243"/>
      <c r="S57" s="243"/>
      <c r="T57" s="243"/>
      <c r="U57" s="243"/>
    </row>
    <row r="58" spans="2:21">
      <c r="B58" s="145" t="str">
        <f t="shared" si="0"/>
        <v/>
      </c>
      <c r="C58" s="495">
        <f>IF(D11="","-",+C57+1)</f>
        <v>2058</v>
      </c>
      <c r="D58" s="508">
        <f>IF(F57+SUM(E$17:E57)=D$10,F57,D$10-SUM(E$17:E57))</f>
        <v>0</v>
      </c>
      <c r="E58" s="509">
        <f t="shared" si="9"/>
        <v>0</v>
      </c>
      <c r="F58" s="510">
        <f t="shared" si="5"/>
        <v>0</v>
      </c>
      <c r="G58" s="511">
        <f t="shared" si="6"/>
        <v>0</v>
      </c>
      <c r="H58" s="477">
        <f t="shared" si="7"/>
        <v>0</v>
      </c>
      <c r="I58" s="500">
        <f t="shared" si="3"/>
        <v>0</v>
      </c>
      <c r="J58" s="500"/>
      <c r="K58" s="512"/>
      <c r="L58" s="504">
        <f t="shared" si="8"/>
        <v>0</v>
      </c>
      <c r="M58" s="512"/>
      <c r="N58" s="504">
        <f t="shared" si="1"/>
        <v>0</v>
      </c>
      <c r="O58" s="504">
        <f t="shared" si="2"/>
        <v>0</v>
      </c>
      <c r="P58" s="278"/>
      <c r="R58" s="243"/>
      <c r="S58" s="243"/>
      <c r="T58" s="243"/>
      <c r="U58" s="243"/>
    </row>
    <row r="59" spans="2:21">
      <c r="B59" s="145" t="str">
        <f t="shared" si="0"/>
        <v/>
      </c>
      <c r="C59" s="495">
        <f>IF(D11="","-",+C58+1)</f>
        <v>2059</v>
      </c>
      <c r="D59" s="508">
        <f>IF(F58+SUM(E$17:E58)=D$10,F58,D$10-SUM(E$17:E58))</f>
        <v>0</v>
      </c>
      <c r="E59" s="509">
        <f t="shared" si="9"/>
        <v>0</v>
      </c>
      <c r="F59" s="510">
        <f t="shared" si="5"/>
        <v>0</v>
      </c>
      <c r="G59" s="511">
        <f t="shared" si="6"/>
        <v>0</v>
      </c>
      <c r="H59" s="477">
        <f t="shared" si="7"/>
        <v>0</v>
      </c>
      <c r="I59" s="500">
        <f t="shared" si="3"/>
        <v>0</v>
      </c>
      <c r="J59" s="500"/>
      <c r="K59" s="512"/>
      <c r="L59" s="504">
        <f t="shared" si="8"/>
        <v>0</v>
      </c>
      <c r="M59" s="512"/>
      <c r="N59" s="504">
        <f t="shared" si="1"/>
        <v>0</v>
      </c>
      <c r="O59" s="504">
        <f t="shared" si="2"/>
        <v>0</v>
      </c>
      <c r="P59" s="278"/>
      <c r="R59" s="243"/>
      <c r="S59" s="243"/>
      <c r="T59" s="243"/>
      <c r="U59" s="243"/>
    </row>
    <row r="60" spans="2:21">
      <c r="B60" s="145" t="str">
        <f t="shared" si="0"/>
        <v/>
      </c>
      <c r="C60" s="495">
        <f>IF(D11="","-",+C59+1)</f>
        <v>2060</v>
      </c>
      <c r="D60" s="508">
        <f>IF(F59+SUM(E$17:E59)=D$10,F59,D$10-SUM(E$17:E59))</f>
        <v>0</v>
      </c>
      <c r="E60" s="509">
        <f t="shared" si="9"/>
        <v>0</v>
      </c>
      <c r="F60" s="510">
        <f t="shared" si="5"/>
        <v>0</v>
      </c>
      <c r="G60" s="511">
        <f t="shared" si="6"/>
        <v>0</v>
      </c>
      <c r="H60" s="477">
        <f t="shared" si="7"/>
        <v>0</v>
      </c>
      <c r="I60" s="500">
        <f t="shared" si="3"/>
        <v>0</v>
      </c>
      <c r="J60" s="500"/>
      <c r="K60" s="512"/>
      <c r="L60" s="504">
        <f t="shared" si="8"/>
        <v>0</v>
      </c>
      <c r="M60" s="512"/>
      <c r="N60" s="504">
        <f t="shared" si="1"/>
        <v>0</v>
      </c>
      <c r="O60" s="504">
        <f t="shared" si="2"/>
        <v>0</v>
      </c>
      <c r="P60" s="278"/>
      <c r="R60" s="243"/>
      <c r="S60" s="243"/>
      <c r="T60" s="243"/>
      <c r="U60" s="243"/>
    </row>
    <row r="61" spans="2:21">
      <c r="B61" s="145" t="str">
        <f t="shared" si="0"/>
        <v/>
      </c>
      <c r="C61" s="495">
        <f>IF(D11="","-",+C60+1)</f>
        <v>2061</v>
      </c>
      <c r="D61" s="508">
        <f>IF(F60+SUM(E$17:E60)=D$10,F60,D$10-SUM(E$17:E60))</f>
        <v>0</v>
      </c>
      <c r="E61" s="509">
        <f t="shared" si="9"/>
        <v>0</v>
      </c>
      <c r="F61" s="510">
        <f t="shared" si="5"/>
        <v>0</v>
      </c>
      <c r="G61" s="511">
        <f t="shared" si="6"/>
        <v>0</v>
      </c>
      <c r="H61" s="477">
        <f t="shared" si="7"/>
        <v>0</v>
      </c>
      <c r="I61" s="500">
        <f t="shared" si="3"/>
        <v>0</v>
      </c>
      <c r="J61" s="500"/>
      <c r="K61" s="512"/>
      <c r="L61" s="504">
        <f t="shared" si="8"/>
        <v>0</v>
      </c>
      <c r="M61" s="512"/>
      <c r="N61" s="504">
        <f t="shared" si="1"/>
        <v>0</v>
      </c>
      <c r="O61" s="504">
        <f t="shared" si="2"/>
        <v>0</v>
      </c>
      <c r="P61" s="278"/>
      <c r="R61" s="243"/>
      <c r="S61" s="243"/>
      <c r="T61" s="243"/>
      <c r="U61" s="243"/>
    </row>
    <row r="62" spans="2:21">
      <c r="B62" s="145" t="str">
        <f t="shared" si="0"/>
        <v/>
      </c>
      <c r="C62" s="495">
        <f>IF(D11="","-",+C61+1)</f>
        <v>2062</v>
      </c>
      <c r="D62" s="508">
        <f>IF(F61+SUM(E$17:E61)=D$10,F61,D$10-SUM(E$17:E61))</f>
        <v>0</v>
      </c>
      <c r="E62" s="509">
        <f t="shared" si="9"/>
        <v>0</v>
      </c>
      <c r="F62" s="510">
        <f t="shared" si="5"/>
        <v>0</v>
      </c>
      <c r="G62" s="511">
        <f t="shared" si="6"/>
        <v>0</v>
      </c>
      <c r="H62" s="477">
        <f t="shared" si="7"/>
        <v>0</v>
      </c>
      <c r="I62" s="500">
        <f t="shared" si="3"/>
        <v>0</v>
      </c>
      <c r="J62" s="500"/>
      <c r="K62" s="512"/>
      <c r="L62" s="504">
        <f t="shared" si="8"/>
        <v>0</v>
      </c>
      <c r="M62" s="512"/>
      <c r="N62" s="504">
        <f t="shared" si="1"/>
        <v>0</v>
      </c>
      <c r="O62" s="504">
        <f t="shared" si="2"/>
        <v>0</v>
      </c>
      <c r="P62" s="278"/>
      <c r="R62" s="243"/>
      <c r="S62" s="243"/>
      <c r="T62" s="243"/>
      <c r="U62" s="243"/>
    </row>
    <row r="63" spans="2:21">
      <c r="B63" s="145" t="str">
        <f t="shared" si="0"/>
        <v/>
      </c>
      <c r="C63" s="495">
        <f>IF(D11="","-",+C62+1)</f>
        <v>2063</v>
      </c>
      <c r="D63" s="508">
        <f>IF(F62+SUM(E$17:E62)=D$10,F62,D$10-SUM(E$17:E62))</f>
        <v>0</v>
      </c>
      <c r="E63" s="509">
        <f t="shared" si="9"/>
        <v>0</v>
      </c>
      <c r="F63" s="510">
        <f t="shared" si="5"/>
        <v>0</v>
      </c>
      <c r="G63" s="511">
        <f t="shared" si="6"/>
        <v>0</v>
      </c>
      <c r="H63" s="477">
        <f t="shared" si="7"/>
        <v>0</v>
      </c>
      <c r="I63" s="500">
        <f t="shared" si="3"/>
        <v>0</v>
      </c>
      <c r="J63" s="500"/>
      <c r="K63" s="512"/>
      <c r="L63" s="504">
        <f t="shared" si="8"/>
        <v>0</v>
      </c>
      <c r="M63" s="512"/>
      <c r="N63" s="504">
        <f t="shared" si="1"/>
        <v>0</v>
      </c>
      <c r="O63" s="504">
        <f t="shared" si="2"/>
        <v>0</v>
      </c>
      <c r="P63" s="278"/>
      <c r="R63" s="243"/>
      <c r="S63" s="243"/>
      <c r="T63" s="243"/>
      <c r="U63" s="243"/>
    </row>
    <row r="64" spans="2:21">
      <c r="B64" s="145" t="str">
        <f t="shared" si="0"/>
        <v/>
      </c>
      <c r="C64" s="495">
        <f>IF(D11="","-",+C63+1)</f>
        <v>2064</v>
      </c>
      <c r="D64" s="508">
        <f>IF(F63+SUM(E$17:E63)=D$10,F63,D$10-SUM(E$17:E63))</f>
        <v>0</v>
      </c>
      <c r="E64" s="509">
        <f t="shared" si="9"/>
        <v>0</v>
      </c>
      <c r="F64" s="510">
        <f t="shared" si="5"/>
        <v>0</v>
      </c>
      <c r="G64" s="511">
        <f t="shared" si="6"/>
        <v>0</v>
      </c>
      <c r="H64" s="477">
        <f t="shared" si="7"/>
        <v>0</v>
      </c>
      <c r="I64" s="500">
        <f t="shared" si="3"/>
        <v>0</v>
      </c>
      <c r="J64" s="500"/>
      <c r="K64" s="512"/>
      <c r="L64" s="504">
        <f t="shared" si="8"/>
        <v>0</v>
      </c>
      <c r="M64" s="512"/>
      <c r="N64" s="504">
        <f t="shared" si="1"/>
        <v>0</v>
      </c>
      <c r="O64" s="504">
        <f t="shared" si="2"/>
        <v>0</v>
      </c>
      <c r="P64" s="278"/>
      <c r="R64" s="243"/>
      <c r="S64" s="243"/>
      <c r="T64" s="243"/>
      <c r="U64" s="243"/>
    </row>
    <row r="65" spans="2:21">
      <c r="B65" s="145" t="str">
        <f t="shared" si="0"/>
        <v/>
      </c>
      <c r="C65" s="495">
        <f>IF(D11="","-",+C64+1)</f>
        <v>2065</v>
      </c>
      <c r="D65" s="508">
        <f>IF(F64+SUM(E$17:E64)=D$10,F64,D$10-SUM(E$17:E64))</f>
        <v>0</v>
      </c>
      <c r="E65" s="509">
        <f t="shared" si="9"/>
        <v>0</v>
      </c>
      <c r="F65" s="510">
        <f t="shared" si="5"/>
        <v>0</v>
      </c>
      <c r="G65" s="511">
        <f t="shared" si="6"/>
        <v>0</v>
      </c>
      <c r="H65" s="477">
        <f t="shared" si="7"/>
        <v>0</v>
      </c>
      <c r="I65" s="500">
        <f t="shared" si="3"/>
        <v>0</v>
      </c>
      <c r="J65" s="500"/>
      <c r="K65" s="512"/>
      <c r="L65" s="504">
        <f t="shared" si="8"/>
        <v>0</v>
      </c>
      <c r="M65" s="512"/>
      <c r="N65" s="504">
        <f t="shared" si="1"/>
        <v>0</v>
      </c>
      <c r="O65" s="504">
        <f t="shared" si="2"/>
        <v>0</v>
      </c>
      <c r="P65" s="278"/>
      <c r="R65" s="243"/>
      <c r="S65" s="243"/>
      <c r="T65" s="243"/>
      <c r="U65" s="243"/>
    </row>
    <row r="66" spans="2:21">
      <c r="B66" s="145" t="str">
        <f t="shared" si="0"/>
        <v/>
      </c>
      <c r="C66" s="495">
        <f>IF(D11="","-",+C65+1)</f>
        <v>2066</v>
      </c>
      <c r="D66" s="508">
        <f>IF(F65+SUM(E$17:E65)=D$10,F65,D$10-SUM(E$17:E65))</f>
        <v>0</v>
      </c>
      <c r="E66" s="509">
        <f t="shared" si="9"/>
        <v>0</v>
      </c>
      <c r="F66" s="510">
        <f t="shared" si="5"/>
        <v>0</v>
      </c>
      <c r="G66" s="511">
        <f t="shared" si="6"/>
        <v>0</v>
      </c>
      <c r="H66" s="477">
        <f t="shared" si="7"/>
        <v>0</v>
      </c>
      <c r="I66" s="500">
        <f t="shared" si="3"/>
        <v>0</v>
      </c>
      <c r="J66" s="500"/>
      <c r="K66" s="512"/>
      <c r="L66" s="504">
        <f t="shared" si="8"/>
        <v>0</v>
      </c>
      <c r="M66" s="512"/>
      <c r="N66" s="504">
        <f t="shared" si="1"/>
        <v>0</v>
      </c>
      <c r="O66" s="504">
        <f t="shared" si="2"/>
        <v>0</v>
      </c>
      <c r="P66" s="278"/>
      <c r="R66" s="243"/>
      <c r="S66" s="243"/>
      <c r="T66" s="243"/>
      <c r="U66" s="243"/>
    </row>
    <row r="67" spans="2:21">
      <c r="B67" s="145" t="str">
        <f t="shared" si="0"/>
        <v/>
      </c>
      <c r="C67" s="495">
        <f>IF(D11="","-",+C66+1)</f>
        <v>2067</v>
      </c>
      <c r="D67" s="508">
        <f>IF(F66+SUM(E$17:E66)=D$10,F66,D$10-SUM(E$17:E66))</f>
        <v>0</v>
      </c>
      <c r="E67" s="509">
        <f t="shared" si="9"/>
        <v>0</v>
      </c>
      <c r="F67" s="510">
        <f t="shared" si="5"/>
        <v>0</v>
      </c>
      <c r="G67" s="511">
        <f t="shared" si="6"/>
        <v>0</v>
      </c>
      <c r="H67" s="477">
        <f t="shared" si="7"/>
        <v>0</v>
      </c>
      <c r="I67" s="500">
        <f t="shared" si="3"/>
        <v>0</v>
      </c>
      <c r="J67" s="500"/>
      <c r="K67" s="512"/>
      <c r="L67" s="504">
        <f t="shared" si="8"/>
        <v>0</v>
      </c>
      <c r="M67" s="512"/>
      <c r="N67" s="504">
        <f t="shared" si="1"/>
        <v>0</v>
      </c>
      <c r="O67" s="504">
        <f t="shared" si="2"/>
        <v>0</v>
      </c>
      <c r="P67" s="278"/>
      <c r="R67" s="243"/>
      <c r="S67" s="243"/>
      <c r="T67" s="243"/>
      <c r="U67" s="243"/>
    </row>
    <row r="68" spans="2:21">
      <c r="B68" s="145" t="str">
        <f t="shared" si="0"/>
        <v/>
      </c>
      <c r="C68" s="495">
        <f>IF(D11="","-",+C67+1)</f>
        <v>2068</v>
      </c>
      <c r="D68" s="508">
        <f>IF(F67+SUM(E$17:E67)=D$10,F67,D$10-SUM(E$17:E67))</f>
        <v>0</v>
      </c>
      <c r="E68" s="509">
        <f t="shared" si="9"/>
        <v>0</v>
      </c>
      <c r="F68" s="510">
        <f t="shared" si="5"/>
        <v>0</v>
      </c>
      <c r="G68" s="511">
        <f t="shared" si="6"/>
        <v>0</v>
      </c>
      <c r="H68" s="477">
        <f t="shared" si="7"/>
        <v>0</v>
      </c>
      <c r="I68" s="500">
        <f t="shared" si="3"/>
        <v>0</v>
      </c>
      <c r="J68" s="500"/>
      <c r="K68" s="512"/>
      <c r="L68" s="504">
        <f t="shared" si="8"/>
        <v>0</v>
      </c>
      <c r="M68" s="512"/>
      <c r="N68" s="504">
        <f t="shared" si="1"/>
        <v>0</v>
      </c>
      <c r="O68" s="504">
        <f t="shared" si="2"/>
        <v>0</v>
      </c>
      <c r="P68" s="278"/>
      <c r="R68" s="243"/>
      <c r="S68" s="243"/>
      <c r="T68" s="243"/>
      <c r="U68" s="243"/>
    </row>
    <row r="69" spans="2:21">
      <c r="B69" s="145" t="str">
        <f t="shared" si="0"/>
        <v/>
      </c>
      <c r="C69" s="495">
        <f>IF(D11="","-",+C68+1)</f>
        <v>2069</v>
      </c>
      <c r="D69" s="508">
        <f>IF(F68+SUM(E$17:E68)=D$10,F68,D$10-SUM(E$17:E68))</f>
        <v>0</v>
      </c>
      <c r="E69" s="509">
        <f t="shared" si="9"/>
        <v>0</v>
      </c>
      <c r="F69" s="510">
        <f t="shared" si="5"/>
        <v>0</v>
      </c>
      <c r="G69" s="511">
        <f t="shared" si="6"/>
        <v>0</v>
      </c>
      <c r="H69" s="477">
        <f t="shared" si="7"/>
        <v>0</v>
      </c>
      <c r="I69" s="500">
        <f t="shared" si="3"/>
        <v>0</v>
      </c>
      <c r="J69" s="500"/>
      <c r="K69" s="512"/>
      <c r="L69" s="504">
        <f t="shared" si="8"/>
        <v>0</v>
      </c>
      <c r="M69" s="512"/>
      <c r="N69" s="504">
        <f t="shared" si="1"/>
        <v>0</v>
      </c>
      <c r="O69" s="504">
        <f t="shared" si="2"/>
        <v>0</v>
      </c>
      <c r="P69" s="278"/>
      <c r="R69" s="243"/>
      <c r="S69" s="243"/>
      <c r="T69" s="243"/>
      <c r="U69" s="243"/>
    </row>
    <row r="70" spans="2:21">
      <c r="B70" s="145" t="str">
        <f t="shared" si="0"/>
        <v/>
      </c>
      <c r="C70" s="495">
        <f>IF(D11="","-",+C69+1)</f>
        <v>2070</v>
      </c>
      <c r="D70" s="508">
        <f>IF(F69+SUM(E$17:E69)=D$10,F69,D$10-SUM(E$17:E69))</f>
        <v>0</v>
      </c>
      <c r="E70" s="509">
        <f t="shared" si="9"/>
        <v>0</v>
      </c>
      <c r="F70" s="510">
        <f t="shared" si="5"/>
        <v>0</v>
      </c>
      <c r="G70" s="511">
        <f t="shared" si="6"/>
        <v>0</v>
      </c>
      <c r="H70" s="477">
        <f t="shared" si="7"/>
        <v>0</v>
      </c>
      <c r="I70" s="500">
        <f t="shared" si="3"/>
        <v>0</v>
      </c>
      <c r="J70" s="500"/>
      <c r="K70" s="512"/>
      <c r="L70" s="504">
        <f t="shared" si="8"/>
        <v>0</v>
      </c>
      <c r="M70" s="512"/>
      <c r="N70" s="504">
        <f t="shared" si="1"/>
        <v>0</v>
      </c>
      <c r="O70" s="504">
        <f t="shared" si="2"/>
        <v>0</v>
      </c>
      <c r="P70" s="278"/>
      <c r="R70" s="243"/>
      <c r="S70" s="243"/>
      <c r="T70" s="243"/>
      <c r="U70" s="243"/>
    </row>
    <row r="71" spans="2:21">
      <c r="B71" s="145" t="str">
        <f t="shared" si="0"/>
        <v/>
      </c>
      <c r="C71" s="495">
        <f>IF(D11="","-",+C70+1)</f>
        <v>2071</v>
      </c>
      <c r="D71" s="508">
        <f>IF(F70+SUM(E$17:E70)=D$10,F70,D$10-SUM(E$17:E70))</f>
        <v>0</v>
      </c>
      <c r="E71" s="509">
        <f t="shared" si="9"/>
        <v>0</v>
      </c>
      <c r="F71" s="510">
        <f t="shared" si="5"/>
        <v>0</v>
      </c>
      <c r="G71" s="511">
        <f t="shared" si="6"/>
        <v>0</v>
      </c>
      <c r="H71" s="477">
        <f t="shared" si="7"/>
        <v>0</v>
      </c>
      <c r="I71" s="500">
        <f t="shared" si="3"/>
        <v>0</v>
      </c>
      <c r="J71" s="500"/>
      <c r="K71" s="512"/>
      <c r="L71" s="504">
        <f t="shared" si="8"/>
        <v>0</v>
      </c>
      <c r="M71" s="512"/>
      <c r="N71" s="504">
        <f t="shared" si="1"/>
        <v>0</v>
      </c>
      <c r="O71" s="504">
        <f t="shared" si="2"/>
        <v>0</v>
      </c>
      <c r="P71" s="278"/>
      <c r="R71" s="243"/>
      <c r="S71" s="243"/>
      <c r="T71" s="243"/>
      <c r="U71" s="243"/>
    </row>
    <row r="72" spans="2:21">
      <c r="B72" s="145" t="str">
        <f t="shared" si="0"/>
        <v/>
      </c>
      <c r="C72" s="495">
        <f>IF(D11="","-",+C71+1)</f>
        <v>2072</v>
      </c>
      <c r="D72" s="508">
        <f>IF(F71+SUM(E$17:E71)=D$10,F71,D$10-SUM(E$17:E71))</f>
        <v>0</v>
      </c>
      <c r="E72" s="509">
        <f t="shared" si="9"/>
        <v>0</v>
      </c>
      <c r="F72" s="510">
        <f t="shared" si="5"/>
        <v>0</v>
      </c>
      <c r="G72" s="511">
        <f t="shared" si="6"/>
        <v>0</v>
      </c>
      <c r="H72" s="477">
        <f t="shared" si="7"/>
        <v>0</v>
      </c>
      <c r="I72" s="500">
        <f t="shared" si="3"/>
        <v>0</v>
      </c>
      <c r="J72" s="500"/>
      <c r="K72" s="512"/>
      <c r="L72" s="504">
        <f t="shared" si="8"/>
        <v>0</v>
      </c>
      <c r="M72" s="512"/>
      <c r="N72" s="504">
        <f t="shared" si="1"/>
        <v>0</v>
      </c>
      <c r="O72" s="504">
        <f t="shared" si="2"/>
        <v>0</v>
      </c>
      <c r="P72" s="278"/>
      <c r="R72" s="243"/>
      <c r="S72" s="243"/>
      <c r="T72" s="243"/>
      <c r="U72" s="243"/>
    </row>
    <row r="73" spans="2:21" ht="13.5" thickBot="1">
      <c r="B73" s="145" t="str">
        <f t="shared" si="0"/>
        <v/>
      </c>
      <c r="C73" s="524">
        <f>IF(D11="","-",+C72+1)</f>
        <v>2073</v>
      </c>
      <c r="D73" s="525">
        <f>IF(F72+SUM(E$17:E72)=D$10,F72,D$10-SUM(E$17:E72))</f>
        <v>0</v>
      </c>
      <c r="E73" s="526">
        <f t="shared" si="9"/>
        <v>0</v>
      </c>
      <c r="F73" s="527">
        <f t="shared" si="5"/>
        <v>0</v>
      </c>
      <c r="G73" s="527">
        <f t="shared" si="6"/>
        <v>0</v>
      </c>
      <c r="H73" s="527">
        <f t="shared" si="7"/>
        <v>0</v>
      </c>
      <c r="I73" s="529">
        <f t="shared" si="3"/>
        <v>0</v>
      </c>
      <c r="J73" s="500"/>
      <c r="K73" s="530"/>
      <c r="L73" s="531">
        <f t="shared" si="8"/>
        <v>0</v>
      </c>
      <c r="M73" s="530"/>
      <c r="N73" s="531">
        <f t="shared" si="1"/>
        <v>0</v>
      </c>
      <c r="O73" s="531">
        <f t="shared" si="2"/>
        <v>0</v>
      </c>
      <c r="P73" s="278"/>
      <c r="R73" s="243"/>
      <c r="S73" s="243"/>
      <c r="T73" s="243"/>
      <c r="U73" s="243"/>
    </row>
    <row r="74" spans="2:21">
      <c r="C74" s="349" t="s">
        <v>75</v>
      </c>
      <c r="D74" s="294"/>
      <c r="E74" s="294">
        <f>SUM(E17:E73)</f>
        <v>11056564.999999998</v>
      </c>
      <c r="F74" s="294"/>
      <c r="G74" s="294">
        <f>SUM(G17:G73)</f>
        <v>31987697.82501705</v>
      </c>
      <c r="H74" s="294">
        <f>SUM(H17:H73)</f>
        <v>31987697.82501705</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533" t="str">
        <f ca="1">P1</f>
        <v>OKT Project 15 of 23</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2020</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1401378.1525541013</v>
      </c>
      <c r="N88" s="544">
        <f>IF(J93&lt;D11,0,VLOOKUP(J93,C17:O73,11))</f>
        <v>1401378.1525541013</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1470461.3095253243</v>
      </c>
      <c r="N89" s="548">
        <f>IF(J93&lt;D11,0,VLOOKUP(J93,C100:P155,7))</f>
        <v>1470461.3095253243</v>
      </c>
      <c r="O89" s="549">
        <f>+N89-M89</f>
        <v>0</v>
      </c>
      <c r="P89" s="243"/>
      <c r="Q89" s="243"/>
      <c r="R89" s="243"/>
      <c r="S89" s="243"/>
      <c r="T89" s="243"/>
      <c r="U89" s="243"/>
    </row>
    <row r="90" spans="1:21" ht="13.5" thickBot="1">
      <c r="C90" s="454" t="s">
        <v>82</v>
      </c>
      <c r="D90" s="550" t="str">
        <f>+D7</f>
        <v>Darlington Roman Nose 138 kv</v>
      </c>
      <c r="E90" s="243"/>
      <c r="F90" s="243"/>
      <c r="G90" s="243"/>
      <c r="H90" s="243"/>
      <c r="I90" s="325"/>
      <c r="J90" s="325"/>
      <c r="K90" s="551"/>
      <c r="L90" s="552" t="s">
        <v>135</v>
      </c>
      <c r="M90" s="553">
        <f>+M89-M88</f>
        <v>69083.156971222954</v>
      </c>
      <c r="N90" s="553">
        <f>+N89-N88</f>
        <v>69083.156971222954</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
        <v>260</v>
      </c>
      <c r="E92" s="558"/>
      <c r="F92" s="558"/>
      <c r="G92" s="558"/>
      <c r="H92" s="558"/>
      <c r="I92" s="558"/>
      <c r="J92" s="558"/>
      <c r="K92" s="560"/>
      <c r="P92" s="468"/>
      <c r="Q92" s="243"/>
      <c r="R92" s="243"/>
      <c r="S92" s="243"/>
      <c r="T92" s="243"/>
      <c r="U92" s="243"/>
    </row>
    <row r="93" spans="1:21">
      <c r="C93" s="472" t="s">
        <v>49</v>
      </c>
      <c r="D93" s="598">
        <v>11056565</v>
      </c>
      <c r="E93" s="248" t="s">
        <v>84</v>
      </c>
      <c r="H93" s="408"/>
      <c r="I93" s="408"/>
      <c r="J93" s="471">
        <f>+'OKT.WS.G.BPU.ATRR.True-up'!M16</f>
        <v>2020</v>
      </c>
      <c r="K93" s="467"/>
      <c r="L93" s="294" t="s">
        <v>85</v>
      </c>
      <c r="P93" s="278"/>
      <c r="Q93" s="243"/>
      <c r="R93" s="243"/>
      <c r="S93" s="243"/>
      <c r="T93" s="243"/>
      <c r="U93" s="243"/>
    </row>
    <row r="94" spans="1:21">
      <c r="C94" s="472" t="s">
        <v>52</v>
      </c>
      <c r="D94" s="639">
        <f>D11</f>
        <v>2017</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98">
        <f>D12</f>
        <v>6</v>
      </c>
      <c r="E95" s="472" t="s">
        <v>55</v>
      </c>
      <c r="F95" s="408"/>
      <c r="G95" s="408"/>
      <c r="J95" s="476">
        <f>'OKT.WS.G.BPU.ATRR.True-up'!$F$81</f>
        <v>0.11475877389767174</v>
      </c>
      <c r="K95" s="413"/>
      <c r="L95" s="145" t="s">
        <v>86</v>
      </c>
      <c r="P95" s="278"/>
      <c r="Q95" s="243"/>
      <c r="R95" s="243"/>
      <c r="S95" s="243"/>
      <c r="T95" s="243"/>
      <c r="U95" s="243"/>
    </row>
    <row r="96" spans="1:21">
      <c r="C96" s="472" t="s">
        <v>57</v>
      </c>
      <c r="D96" s="474">
        <f>'OKT.WS.G.BPU.ATRR.True-up'!F$93</f>
        <v>21</v>
      </c>
      <c r="E96" s="472" t="s">
        <v>58</v>
      </c>
      <c r="F96" s="408"/>
      <c r="G96" s="408"/>
      <c r="J96" s="476">
        <f>IF(H88="",J95,'OKT.WS.G.BPU.ATRR.True-up'!$F$80)</f>
        <v>0.11475877389767174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526503.09523809527</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B100" s="145" t="str">
        <f t="shared" ref="B100:B155" si="10">IF(D100=F99,"","IU")</f>
        <v>IU</v>
      </c>
      <c r="C100" s="495">
        <f>IF(D94= "","-",D94)</f>
        <v>2017</v>
      </c>
      <c r="D100" s="496">
        <v>0</v>
      </c>
      <c r="E100" s="498">
        <v>137920.28750000001</v>
      </c>
      <c r="F100" s="505">
        <v>10895702.7125</v>
      </c>
      <c r="G100" s="505">
        <v>5447851.3562500002</v>
      </c>
      <c r="H100" s="498">
        <v>777148.63448158256</v>
      </c>
      <c r="I100" s="499">
        <v>777148.63448158256</v>
      </c>
      <c r="J100" s="504">
        <f>+I100-H100</f>
        <v>0</v>
      </c>
      <c r="K100" s="504"/>
      <c r="L100" s="506">
        <f>+H100</f>
        <v>777148.63448158256</v>
      </c>
      <c r="M100" s="504">
        <f>IF(L100&lt;&gt;0,+H100-L100,0)</f>
        <v>0</v>
      </c>
      <c r="N100" s="506">
        <f>+I100</f>
        <v>777148.63448158256</v>
      </c>
      <c r="O100" s="586">
        <f>IF(N100&lt;&gt;0,+I100-N100,0)</f>
        <v>0</v>
      </c>
      <c r="P100" s="504">
        <f>+O100-M100</f>
        <v>0</v>
      </c>
      <c r="Q100" s="243"/>
      <c r="R100" s="243"/>
      <c r="S100" s="243"/>
      <c r="T100" s="243"/>
      <c r="U100" s="243"/>
    </row>
    <row r="101" spans="1:21">
      <c r="B101" s="145" t="str">
        <f t="shared" si="10"/>
        <v/>
      </c>
      <c r="C101" s="495">
        <f>IF(D94="","-",+C100+1)</f>
        <v>2018</v>
      </c>
      <c r="D101" s="496">
        <v>10895702.7125</v>
      </c>
      <c r="E101" s="498">
        <v>306489.52777777775</v>
      </c>
      <c r="F101" s="505">
        <v>10589213.184722222</v>
      </c>
      <c r="G101" s="505">
        <v>10742457.94861111</v>
      </c>
      <c r="H101" s="498">
        <v>1440489.6981770755</v>
      </c>
      <c r="I101" s="499">
        <v>1440489.6981770755</v>
      </c>
      <c r="J101" s="504">
        <v>0</v>
      </c>
      <c r="K101" s="504"/>
      <c r="L101" s="506">
        <f>H101</f>
        <v>1440489.6981770755</v>
      </c>
      <c r="M101" s="504">
        <f>IF(L101&lt;&gt;0,+H101-L101,0)</f>
        <v>0</v>
      </c>
      <c r="N101" s="506">
        <f>I101</f>
        <v>1440489.6981770755</v>
      </c>
      <c r="O101" s="504">
        <f>IF(N101&lt;&gt;0,+I101-N101,0)</f>
        <v>0</v>
      </c>
      <c r="P101" s="504">
        <f>+O101-M101</f>
        <v>0</v>
      </c>
      <c r="Q101" s="243"/>
      <c r="R101" s="243"/>
      <c r="S101" s="243"/>
      <c r="T101" s="243"/>
      <c r="U101" s="243"/>
    </row>
    <row r="102" spans="1:21">
      <c r="B102" s="145" t="str">
        <f t="shared" si="10"/>
        <v>IU</v>
      </c>
      <c r="C102" s="495">
        <f>IF(D94="","-",+C101+1)</f>
        <v>2019</v>
      </c>
      <c r="D102" s="496">
        <v>10612155.184722222</v>
      </c>
      <c r="E102" s="498">
        <v>307126.80555555556</v>
      </c>
      <c r="F102" s="505">
        <v>10305028.379166666</v>
      </c>
      <c r="G102" s="505">
        <v>10458591.781944444</v>
      </c>
      <c r="H102" s="498">
        <v>1411161.3681851514</v>
      </c>
      <c r="I102" s="499">
        <v>1411161.3681851514</v>
      </c>
      <c r="J102" s="504">
        <f t="shared" ref="J102:J155" si="11">+I102-H102</f>
        <v>0</v>
      </c>
      <c r="K102" s="504"/>
      <c r="L102" s="506">
        <f>H102</f>
        <v>1411161.3681851514</v>
      </c>
      <c r="M102" s="504">
        <f>IF(L102&lt;&gt;0,+H102-L102,0)</f>
        <v>0</v>
      </c>
      <c r="N102" s="506">
        <f>I102</f>
        <v>1411161.3681851514</v>
      </c>
      <c r="O102" s="504">
        <f t="shared" ref="O102:O155" si="12">IF(N102&lt;&gt;0,+I102-N102,0)</f>
        <v>0</v>
      </c>
      <c r="P102" s="504">
        <f t="shared" ref="P102:P155" si="13">+O102-M102</f>
        <v>0</v>
      </c>
      <c r="Q102" s="243"/>
      <c r="R102" s="243"/>
      <c r="S102" s="243"/>
      <c r="T102" s="243"/>
      <c r="U102" s="243"/>
    </row>
    <row r="103" spans="1:21">
      <c r="B103" s="145" t="str">
        <f t="shared" si="10"/>
        <v/>
      </c>
      <c r="C103" s="495">
        <f>IF(D94="","-",+C102+1)</f>
        <v>2020</v>
      </c>
      <c r="D103" s="496">
        <v>10305028.379166666</v>
      </c>
      <c r="E103" s="498">
        <v>394877.32142857142</v>
      </c>
      <c r="F103" s="505">
        <v>9910151.0577380955</v>
      </c>
      <c r="G103" s="505">
        <v>10107589.718452381</v>
      </c>
      <c r="H103" s="498">
        <v>1470461.3095253243</v>
      </c>
      <c r="I103" s="499">
        <v>1470461.3095253243</v>
      </c>
      <c r="J103" s="504">
        <f t="shared" si="11"/>
        <v>0</v>
      </c>
      <c r="K103" s="504"/>
      <c r="L103" s="506">
        <f>H103</f>
        <v>1470461.3095253243</v>
      </c>
      <c r="M103" s="504">
        <f>IF(L103&lt;&gt;0,+H103-L103,0)</f>
        <v>0</v>
      </c>
      <c r="N103" s="506">
        <f>I103</f>
        <v>1470461.3095253243</v>
      </c>
      <c r="O103" s="504">
        <f t="shared" si="12"/>
        <v>0</v>
      </c>
      <c r="P103" s="504">
        <f t="shared" si="13"/>
        <v>0</v>
      </c>
      <c r="Q103" s="243"/>
      <c r="R103" s="243"/>
      <c r="S103" s="243"/>
      <c r="T103" s="243"/>
      <c r="U103" s="243"/>
    </row>
    <row r="104" spans="1:21">
      <c r="B104" s="145" t="str">
        <f t="shared" si="10"/>
        <v/>
      </c>
      <c r="C104" s="495">
        <f>IF(D94="","-",+C103+1)</f>
        <v>2021</v>
      </c>
      <c r="D104" s="349">
        <f>IF(F103+SUM(E$100:E103)=D$93,F103,D$93-SUM(E$100:E103))</f>
        <v>9910151.0577380955</v>
      </c>
      <c r="E104" s="509">
        <f t="shared" ref="E104:E134" si="14">IF(+J$97&lt;F103,J$97,D104)</f>
        <v>526503.09523809527</v>
      </c>
      <c r="F104" s="510">
        <f t="shared" ref="F104:F155" si="15">+D104-E104</f>
        <v>9383647.9625000004</v>
      </c>
      <c r="G104" s="510">
        <f t="shared" ref="G104:G155" si="16">+(F104+D104)/2</f>
        <v>9646899.510119047</v>
      </c>
      <c r="H104" s="523">
        <f>+J$95*G104+E104</f>
        <v>1633569.4549334073</v>
      </c>
      <c r="I104" s="572">
        <f t="shared" ref="I104:I155" si="17">+J$96*G104+E104</f>
        <v>1633569.4549334073</v>
      </c>
      <c r="J104" s="504">
        <f t="shared" si="11"/>
        <v>0</v>
      </c>
      <c r="K104" s="504"/>
      <c r="L104" s="512"/>
      <c r="M104" s="504">
        <f t="shared" ref="M104:M155" si="18">IF(L104&lt;&gt;0,+H104-L104,0)</f>
        <v>0</v>
      </c>
      <c r="N104" s="512"/>
      <c r="O104" s="504">
        <f t="shared" si="12"/>
        <v>0</v>
      </c>
      <c r="P104" s="504">
        <f t="shared" si="13"/>
        <v>0</v>
      </c>
      <c r="Q104" s="243"/>
      <c r="R104" s="243"/>
      <c r="S104" s="243"/>
      <c r="T104" s="243"/>
      <c r="U104" s="243"/>
    </row>
    <row r="105" spans="1:21">
      <c r="B105" s="145" t="str">
        <f t="shared" si="10"/>
        <v/>
      </c>
      <c r="C105" s="495">
        <f>IF(D94="","-",+C104+1)</f>
        <v>2022</v>
      </c>
      <c r="D105" s="349">
        <f>IF(F104+SUM(E$100:E104)=D$93,F104,D$93-SUM(E$100:E104))</f>
        <v>9383647.9625000004</v>
      </c>
      <c r="E105" s="509">
        <f t="shared" si="14"/>
        <v>526503.09523809527</v>
      </c>
      <c r="F105" s="510">
        <f t="shared" si="15"/>
        <v>8857144.8672619052</v>
      </c>
      <c r="G105" s="510">
        <f t="shared" si="16"/>
        <v>9120396.4148809537</v>
      </c>
      <c r="H105" s="523">
        <f t="shared" ref="H105:H155" si="19">+J$95*G105+E105</f>
        <v>1573148.6052705545</v>
      </c>
      <c r="I105" s="572">
        <f t="shared" si="17"/>
        <v>1573148.6052705545</v>
      </c>
      <c r="J105" s="504">
        <f t="shared" si="11"/>
        <v>0</v>
      </c>
      <c r="K105" s="504"/>
      <c r="L105" s="512"/>
      <c r="M105" s="504">
        <f t="shared" si="18"/>
        <v>0</v>
      </c>
      <c r="N105" s="512"/>
      <c r="O105" s="504">
        <f t="shared" si="12"/>
        <v>0</v>
      </c>
      <c r="P105" s="504">
        <f t="shared" si="13"/>
        <v>0</v>
      </c>
      <c r="Q105" s="243"/>
      <c r="R105" s="243"/>
      <c r="S105" s="243"/>
      <c r="T105" s="243"/>
      <c r="U105" s="243"/>
    </row>
    <row r="106" spans="1:21">
      <c r="B106" s="145" t="str">
        <f t="shared" si="10"/>
        <v/>
      </c>
      <c r="C106" s="495">
        <f>IF(D94="","-",+C105+1)</f>
        <v>2023</v>
      </c>
      <c r="D106" s="349">
        <f>IF(F105+SUM(E$100:E105)=D$93,F105,D$93-SUM(E$100:E105))</f>
        <v>8857144.8672619052</v>
      </c>
      <c r="E106" s="509">
        <f t="shared" si="14"/>
        <v>526503.09523809527</v>
      </c>
      <c r="F106" s="510">
        <f t="shared" si="15"/>
        <v>8330641.7720238101</v>
      </c>
      <c r="G106" s="510">
        <f t="shared" si="16"/>
        <v>8593893.3196428567</v>
      </c>
      <c r="H106" s="523">
        <f t="shared" si="19"/>
        <v>1512727.7556077014</v>
      </c>
      <c r="I106" s="572">
        <f t="shared" si="17"/>
        <v>1512727.7556077014</v>
      </c>
      <c r="J106" s="504">
        <f t="shared" si="11"/>
        <v>0</v>
      </c>
      <c r="K106" s="504"/>
      <c r="L106" s="512"/>
      <c r="M106" s="504">
        <f t="shared" si="18"/>
        <v>0</v>
      </c>
      <c r="N106" s="512"/>
      <c r="O106" s="504">
        <f t="shared" si="12"/>
        <v>0</v>
      </c>
      <c r="P106" s="504">
        <f t="shared" si="13"/>
        <v>0</v>
      </c>
      <c r="Q106" s="243"/>
      <c r="R106" s="243"/>
      <c r="S106" s="243"/>
      <c r="T106" s="243"/>
      <c r="U106" s="243"/>
    </row>
    <row r="107" spans="1:21">
      <c r="B107" s="145" t="str">
        <f t="shared" si="10"/>
        <v/>
      </c>
      <c r="C107" s="495">
        <f>IF(D94="","-",+C106+1)</f>
        <v>2024</v>
      </c>
      <c r="D107" s="349">
        <f>IF(F106+SUM(E$100:E106)=D$93,F106,D$93-SUM(E$100:E106))</f>
        <v>8330641.7720238101</v>
      </c>
      <c r="E107" s="509">
        <f t="shared" si="14"/>
        <v>526503.09523809527</v>
      </c>
      <c r="F107" s="510">
        <f t="shared" si="15"/>
        <v>7804138.6767857149</v>
      </c>
      <c r="G107" s="510">
        <f t="shared" si="16"/>
        <v>8067390.2244047625</v>
      </c>
      <c r="H107" s="523">
        <f t="shared" si="19"/>
        <v>1452306.9059448487</v>
      </c>
      <c r="I107" s="572">
        <f t="shared" si="17"/>
        <v>1452306.9059448487</v>
      </c>
      <c r="J107" s="504">
        <f t="shared" si="11"/>
        <v>0</v>
      </c>
      <c r="K107" s="504"/>
      <c r="L107" s="512"/>
      <c r="M107" s="504">
        <f t="shared" si="18"/>
        <v>0</v>
      </c>
      <c r="N107" s="512"/>
      <c r="O107" s="504">
        <f t="shared" si="12"/>
        <v>0</v>
      </c>
      <c r="P107" s="504">
        <f t="shared" si="13"/>
        <v>0</v>
      </c>
      <c r="Q107" s="243"/>
      <c r="R107" s="243"/>
      <c r="S107" s="243"/>
      <c r="T107" s="243"/>
      <c r="U107" s="243"/>
    </row>
    <row r="108" spans="1:21">
      <c r="B108" s="145" t="str">
        <f t="shared" si="10"/>
        <v/>
      </c>
      <c r="C108" s="495">
        <f>IF(D94="","-",+C107+1)</f>
        <v>2025</v>
      </c>
      <c r="D108" s="349">
        <f>IF(F107+SUM(E$100:E107)=D$93,F107,D$93-SUM(E$100:E107))</f>
        <v>7804138.6767857149</v>
      </c>
      <c r="E108" s="509">
        <f t="shared" si="14"/>
        <v>526503.09523809527</v>
      </c>
      <c r="F108" s="510">
        <f t="shared" si="15"/>
        <v>7277635.5815476198</v>
      </c>
      <c r="G108" s="510">
        <f t="shared" si="16"/>
        <v>7540887.1291666673</v>
      </c>
      <c r="H108" s="523">
        <f t="shared" si="19"/>
        <v>1391886.0562819957</v>
      </c>
      <c r="I108" s="572">
        <f t="shared" si="17"/>
        <v>1391886.0562819957</v>
      </c>
      <c r="J108" s="504">
        <f t="shared" si="11"/>
        <v>0</v>
      </c>
      <c r="K108" s="504"/>
      <c r="L108" s="512"/>
      <c r="M108" s="504">
        <f t="shared" si="18"/>
        <v>0</v>
      </c>
      <c r="N108" s="512"/>
      <c r="O108" s="504">
        <f t="shared" si="12"/>
        <v>0</v>
      </c>
      <c r="P108" s="504">
        <f t="shared" si="13"/>
        <v>0</v>
      </c>
      <c r="Q108" s="243"/>
      <c r="R108" s="243"/>
      <c r="S108" s="243"/>
      <c r="T108" s="243"/>
      <c r="U108" s="243"/>
    </row>
    <row r="109" spans="1:21">
      <c r="B109" s="145" t="str">
        <f t="shared" si="10"/>
        <v/>
      </c>
      <c r="C109" s="495">
        <f>IF(D94="","-",+C108+1)</f>
        <v>2026</v>
      </c>
      <c r="D109" s="349">
        <f>IF(F108+SUM(E$100:E108)=D$93,F108,D$93-SUM(E$100:E108))</f>
        <v>7277635.5815476198</v>
      </c>
      <c r="E109" s="509">
        <f t="shared" si="14"/>
        <v>526503.09523809527</v>
      </c>
      <c r="F109" s="510">
        <f t="shared" si="15"/>
        <v>6751132.4863095246</v>
      </c>
      <c r="G109" s="510">
        <f t="shared" si="16"/>
        <v>7014384.0339285722</v>
      </c>
      <c r="H109" s="523">
        <f t="shared" si="19"/>
        <v>1331465.206619143</v>
      </c>
      <c r="I109" s="572">
        <f t="shared" si="17"/>
        <v>1331465.206619143</v>
      </c>
      <c r="J109" s="504">
        <f t="shared" si="11"/>
        <v>0</v>
      </c>
      <c r="K109" s="504"/>
      <c r="L109" s="512"/>
      <c r="M109" s="504">
        <f t="shared" si="18"/>
        <v>0</v>
      </c>
      <c r="N109" s="512"/>
      <c r="O109" s="504">
        <f t="shared" si="12"/>
        <v>0</v>
      </c>
      <c r="P109" s="504">
        <f t="shared" si="13"/>
        <v>0</v>
      </c>
      <c r="Q109" s="243"/>
      <c r="R109" s="243"/>
      <c r="S109" s="243"/>
      <c r="T109" s="243"/>
      <c r="U109" s="243"/>
    </row>
    <row r="110" spans="1:21">
      <c r="B110" s="145" t="str">
        <f t="shared" si="10"/>
        <v/>
      </c>
      <c r="C110" s="495">
        <f>IF(D94="","-",+C109+1)</f>
        <v>2027</v>
      </c>
      <c r="D110" s="349">
        <f>IF(F109+SUM(E$100:E109)=D$93,F109,D$93-SUM(E$100:E109))</f>
        <v>6751132.4863095246</v>
      </c>
      <c r="E110" s="509">
        <f t="shared" si="14"/>
        <v>526503.09523809527</v>
      </c>
      <c r="F110" s="510">
        <f t="shared" si="15"/>
        <v>6224629.3910714295</v>
      </c>
      <c r="G110" s="510">
        <f t="shared" si="16"/>
        <v>6487880.9386904771</v>
      </c>
      <c r="H110" s="523">
        <f t="shared" si="19"/>
        <v>1271044.3569562901</v>
      </c>
      <c r="I110" s="572">
        <f t="shared" si="17"/>
        <v>1271044.3569562901</v>
      </c>
      <c r="J110" s="504">
        <f t="shared" si="11"/>
        <v>0</v>
      </c>
      <c r="K110" s="504"/>
      <c r="L110" s="512"/>
      <c r="M110" s="504">
        <f t="shared" si="18"/>
        <v>0</v>
      </c>
      <c r="N110" s="512"/>
      <c r="O110" s="504">
        <f t="shared" si="12"/>
        <v>0</v>
      </c>
      <c r="P110" s="504">
        <f t="shared" si="13"/>
        <v>0</v>
      </c>
      <c r="Q110" s="243"/>
      <c r="R110" s="243"/>
      <c r="S110" s="243"/>
      <c r="T110" s="243"/>
      <c r="U110" s="243"/>
    </row>
    <row r="111" spans="1:21">
      <c r="B111" s="145" t="str">
        <f t="shared" si="10"/>
        <v/>
      </c>
      <c r="C111" s="495">
        <f>IF(D94="","-",+C110+1)</f>
        <v>2028</v>
      </c>
      <c r="D111" s="349">
        <f>IF(F110+SUM(E$100:E110)=D$93,F110,D$93-SUM(E$100:E110))</f>
        <v>6224629.3910714295</v>
      </c>
      <c r="E111" s="509">
        <f t="shared" si="14"/>
        <v>526503.09523809527</v>
      </c>
      <c r="F111" s="510">
        <f t="shared" si="15"/>
        <v>5698126.2958333343</v>
      </c>
      <c r="G111" s="510">
        <f t="shared" si="16"/>
        <v>5961377.8434523819</v>
      </c>
      <c r="H111" s="523">
        <f t="shared" si="19"/>
        <v>1210623.5072934371</v>
      </c>
      <c r="I111" s="572">
        <f t="shared" si="17"/>
        <v>1210623.5072934371</v>
      </c>
      <c r="J111" s="504">
        <f t="shared" si="11"/>
        <v>0</v>
      </c>
      <c r="K111" s="504"/>
      <c r="L111" s="512"/>
      <c r="M111" s="504">
        <f t="shared" si="18"/>
        <v>0</v>
      </c>
      <c r="N111" s="512"/>
      <c r="O111" s="504">
        <f t="shared" si="12"/>
        <v>0</v>
      </c>
      <c r="P111" s="504">
        <f t="shared" si="13"/>
        <v>0</v>
      </c>
      <c r="Q111" s="243"/>
      <c r="R111" s="243"/>
      <c r="S111" s="243"/>
      <c r="T111" s="243"/>
      <c r="U111" s="243"/>
    </row>
    <row r="112" spans="1:21">
      <c r="B112" s="145" t="str">
        <f t="shared" si="10"/>
        <v/>
      </c>
      <c r="C112" s="495">
        <f>IF(D94="","-",+C111+1)</f>
        <v>2029</v>
      </c>
      <c r="D112" s="349">
        <f>IF(F111+SUM(E$100:E111)=D$93,F111,D$93-SUM(E$100:E111))</f>
        <v>5698126.2958333343</v>
      </c>
      <c r="E112" s="509">
        <f t="shared" si="14"/>
        <v>526503.09523809527</v>
      </c>
      <c r="F112" s="510">
        <f t="shared" si="15"/>
        <v>5171623.2005952392</v>
      </c>
      <c r="G112" s="510">
        <f t="shared" si="16"/>
        <v>5434874.7482142868</v>
      </c>
      <c r="H112" s="523">
        <f t="shared" si="19"/>
        <v>1150202.6576305842</v>
      </c>
      <c r="I112" s="572">
        <f t="shared" si="17"/>
        <v>1150202.6576305842</v>
      </c>
      <c r="J112" s="504">
        <f t="shared" si="11"/>
        <v>0</v>
      </c>
      <c r="K112" s="504"/>
      <c r="L112" s="512"/>
      <c r="M112" s="504">
        <f t="shared" si="18"/>
        <v>0</v>
      </c>
      <c r="N112" s="512"/>
      <c r="O112" s="504">
        <f t="shared" si="12"/>
        <v>0</v>
      </c>
      <c r="P112" s="504">
        <f t="shared" si="13"/>
        <v>0</v>
      </c>
      <c r="Q112" s="243"/>
      <c r="R112" s="243"/>
      <c r="S112" s="243"/>
      <c r="T112" s="243"/>
      <c r="U112" s="243"/>
    </row>
    <row r="113" spans="2:21">
      <c r="B113" s="145" t="str">
        <f t="shared" si="10"/>
        <v/>
      </c>
      <c r="C113" s="495">
        <f>IF(D94="","-",+C112+1)</f>
        <v>2030</v>
      </c>
      <c r="D113" s="349">
        <f>IF(F112+SUM(E$100:E112)=D$93,F112,D$93-SUM(E$100:E112))</f>
        <v>5171623.2005952392</v>
      </c>
      <c r="E113" s="509">
        <f t="shared" si="14"/>
        <v>526503.09523809527</v>
      </c>
      <c r="F113" s="510">
        <f t="shared" si="15"/>
        <v>4645120.105357144</v>
      </c>
      <c r="G113" s="510">
        <f t="shared" si="16"/>
        <v>4908371.6529761916</v>
      </c>
      <c r="H113" s="523">
        <f t="shared" si="19"/>
        <v>1089781.8079677313</v>
      </c>
      <c r="I113" s="572">
        <f t="shared" si="17"/>
        <v>1089781.8079677313</v>
      </c>
      <c r="J113" s="504">
        <f t="shared" si="11"/>
        <v>0</v>
      </c>
      <c r="K113" s="504"/>
      <c r="L113" s="512"/>
      <c r="M113" s="504">
        <f t="shared" si="18"/>
        <v>0</v>
      </c>
      <c r="N113" s="512"/>
      <c r="O113" s="504">
        <f t="shared" si="12"/>
        <v>0</v>
      </c>
      <c r="P113" s="504">
        <f t="shared" si="13"/>
        <v>0</v>
      </c>
      <c r="Q113" s="243"/>
      <c r="R113" s="243"/>
      <c r="S113" s="243"/>
      <c r="T113" s="243"/>
      <c r="U113" s="243"/>
    </row>
    <row r="114" spans="2:21">
      <c r="B114" s="145" t="str">
        <f t="shared" si="10"/>
        <v/>
      </c>
      <c r="C114" s="495">
        <f>IF(D94="","-",+C113+1)</f>
        <v>2031</v>
      </c>
      <c r="D114" s="349">
        <f>IF(F113+SUM(E$100:E113)=D$93,F113,D$93-SUM(E$100:E113))</f>
        <v>4645120.105357144</v>
      </c>
      <c r="E114" s="509">
        <f t="shared" si="14"/>
        <v>526503.09523809527</v>
      </c>
      <c r="F114" s="510">
        <f t="shared" si="15"/>
        <v>4118617.0101190489</v>
      </c>
      <c r="G114" s="510">
        <f t="shared" si="16"/>
        <v>4381868.5577380965</v>
      </c>
      <c r="H114" s="523">
        <f t="shared" si="19"/>
        <v>1029360.9583048784</v>
      </c>
      <c r="I114" s="572">
        <f t="shared" si="17"/>
        <v>1029360.9583048784</v>
      </c>
      <c r="J114" s="504">
        <f t="shared" si="11"/>
        <v>0</v>
      </c>
      <c r="K114" s="504"/>
      <c r="L114" s="512"/>
      <c r="M114" s="504">
        <f t="shared" si="18"/>
        <v>0</v>
      </c>
      <c r="N114" s="512"/>
      <c r="O114" s="504">
        <f t="shared" si="12"/>
        <v>0</v>
      </c>
      <c r="P114" s="504">
        <f t="shared" si="13"/>
        <v>0</v>
      </c>
      <c r="Q114" s="243"/>
      <c r="R114" s="243"/>
      <c r="S114" s="243"/>
      <c r="T114" s="243"/>
      <c r="U114" s="243"/>
    </row>
    <row r="115" spans="2:21">
      <c r="B115" s="145" t="str">
        <f t="shared" si="10"/>
        <v/>
      </c>
      <c r="C115" s="495">
        <f>IF(D94="","-",+C114+1)</f>
        <v>2032</v>
      </c>
      <c r="D115" s="349">
        <f>IF(F114+SUM(E$100:E114)=D$93,F114,D$93-SUM(E$100:E114))</f>
        <v>4118617.0101190489</v>
      </c>
      <c r="E115" s="509">
        <f t="shared" si="14"/>
        <v>526503.09523809527</v>
      </c>
      <c r="F115" s="510">
        <f t="shared" si="15"/>
        <v>3592113.9148809537</v>
      </c>
      <c r="G115" s="510">
        <f t="shared" si="16"/>
        <v>3855365.4625000013</v>
      </c>
      <c r="H115" s="523">
        <f t="shared" si="19"/>
        <v>968940.10864202562</v>
      </c>
      <c r="I115" s="572">
        <f t="shared" si="17"/>
        <v>968940.10864202562</v>
      </c>
      <c r="J115" s="504">
        <f t="shared" si="11"/>
        <v>0</v>
      </c>
      <c r="K115" s="504"/>
      <c r="L115" s="512"/>
      <c r="M115" s="504">
        <f t="shared" si="18"/>
        <v>0</v>
      </c>
      <c r="N115" s="512"/>
      <c r="O115" s="504">
        <f t="shared" si="12"/>
        <v>0</v>
      </c>
      <c r="P115" s="504">
        <f t="shared" si="13"/>
        <v>0</v>
      </c>
      <c r="Q115" s="243"/>
      <c r="R115" s="243"/>
      <c r="S115" s="243"/>
      <c r="T115" s="243"/>
      <c r="U115" s="243"/>
    </row>
    <row r="116" spans="2:21">
      <c r="B116" s="145" t="str">
        <f t="shared" si="10"/>
        <v/>
      </c>
      <c r="C116" s="495">
        <f>IF(D94="","-",+C115+1)</f>
        <v>2033</v>
      </c>
      <c r="D116" s="349">
        <f>IF(F115+SUM(E$100:E115)=D$93,F115,D$93-SUM(E$100:E115))</f>
        <v>3592113.9148809537</v>
      </c>
      <c r="E116" s="509">
        <f t="shared" si="14"/>
        <v>526503.09523809527</v>
      </c>
      <c r="F116" s="510">
        <f t="shared" si="15"/>
        <v>3065610.8196428586</v>
      </c>
      <c r="G116" s="510">
        <f t="shared" si="16"/>
        <v>3328862.3672619062</v>
      </c>
      <c r="H116" s="523">
        <f t="shared" si="19"/>
        <v>908519.25897917268</v>
      </c>
      <c r="I116" s="572">
        <f t="shared" si="17"/>
        <v>908519.25897917268</v>
      </c>
      <c r="J116" s="504">
        <f t="shared" si="11"/>
        <v>0</v>
      </c>
      <c r="K116" s="504"/>
      <c r="L116" s="512"/>
      <c r="M116" s="504">
        <f t="shared" si="18"/>
        <v>0</v>
      </c>
      <c r="N116" s="512"/>
      <c r="O116" s="504">
        <f t="shared" si="12"/>
        <v>0</v>
      </c>
      <c r="P116" s="504">
        <f t="shared" si="13"/>
        <v>0</v>
      </c>
      <c r="Q116" s="243"/>
      <c r="R116" s="243"/>
      <c r="S116" s="243"/>
      <c r="T116" s="243"/>
      <c r="U116" s="243"/>
    </row>
    <row r="117" spans="2:21">
      <c r="B117" s="145" t="str">
        <f t="shared" si="10"/>
        <v/>
      </c>
      <c r="C117" s="495">
        <f>IF(D94="","-",+C116+1)</f>
        <v>2034</v>
      </c>
      <c r="D117" s="349">
        <f>IF(F116+SUM(E$100:E116)=D$93,F116,D$93-SUM(E$100:E116))</f>
        <v>3065610.8196428586</v>
      </c>
      <c r="E117" s="509">
        <f t="shared" si="14"/>
        <v>526503.09523809527</v>
      </c>
      <c r="F117" s="510">
        <f t="shared" si="15"/>
        <v>2539107.7244047634</v>
      </c>
      <c r="G117" s="510">
        <f t="shared" si="16"/>
        <v>2802359.272023811</v>
      </c>
      <c r="H117" s="523">
        <f t="shared" si="19"/>
        <v>848098.40931631974</v>
      </c>
      <c r="I117" s="572">
        <f t="shared" si="17"/>
        <v>848098.40931631974</v>
      </c>
      <c r="J117" s="504">
        <f t="shared" si="11"/>
        <v>0</v>
      </c>
      <c r="K117" s="504"/>
      <c r="L117" s="512"/>
      <c r="M117" s="504">
        <f t="shared" si="18"/>
        <v>0</v>
      </c>
      <c r="N117" s="512"/>
      <c r="O117" s="504">
        <f t="shared" si="12"/>
        <v>0</v>
      </c>
      <c r="P117" s="504">
        <f t="shared" si="13"/>
        <v>0</v>
      </c>
      <c r="Q117" s="243"/>
      <c r="R117" s="243"/>
      <c r="S117" s="243"/>
      <c r="T117" s="243"/>
      <c r="U117" s="243"/>
    </row>
    <row r="118" spans="2:21">
      <c r="B118" s="145" t="str">
        <f t="shared" si="10"/>
        <v/>
      </c>
      <c r="C118" s="495">
        <f>IF(D94="","-",+C117+1)</f>
        <v>2035</v>
      </c>
      <c r="D118" s="349">
        <f>IF(F117+SUM(E$100:E117)=D$93,F117,D$93-SUM(E$100:E117))</f>
        <v>2539107.7244047634</v>
      </c>
      <c r="E118" s="509">
        <f t="shared" si="14"/>
        <v>526503.09523809527</v>
      </c>
      <c r="F118" s="510">
        <f t="shared" si="15"/>
        <v>2012604.6291666683</v>
      </c>
      <c r="G118" s="510">
        <f t="shared" si="16"/>
        <v>2275856.1767857159</v>
      </c>
      <c r="H118" s="523">
        <f t="shared" si="19"/>
        <v>787677.5596534668</v>
      </c>
      <c r="I118" s="572">
        <f t="shared" si="17"/>
        <v>787677.5596534668</v>
      </c>
      <c r="J118" s="504">
        <f t="shared" si="11"/>
        <v>0</v>
      </c>
      <c r="K118" s="504"/>
      <c r="L118" s="512"/>
      <c r="M118" s="504">
        <f t="shared" si="18"/>
        <v>0</v>
      </c>
      <c r="N118" s="512"/>
      <c r="O118" s="504">
        <f t="shared" si="12"/>
        <v>0</v>
      </c>
      <c r="P118" s="504">
        <f t="shared" si="13"/>
        <v>0</v>
      </c>
      <c r="Q118" s="243"/>
      <c r="R118" s="243"/>
      <c r="S118" s="243"/>
      <c r="T118" s="243"/>
      <c r="U118" s="243"/>
    </row>
    <row r="119" spans="2:21">
      <c r="B119" s="145" t="str">
        <f t="shared" si="10"/>
        <v/>
      </c>
      <c r="C119" s="495">
        <f>IF(D94="","-",+C118+1)</f>
        <v>2036</v>
      </c>
      <c r="D119" s="349">
        <f>IF(F118+SUM(E$100:E118)=D$93,F118,D$93-SUM(E$100:E118))</f>
        <v>2012604.6291666683</v>
      </c>
      <c r="E119" s="509">
        <f t="shared" si="14"/>
        <v>526503.09523809527</v>
      </c>
      <c r="F119" s="510">
        <f t="shared" si="15"/>
        <v>1486101.5339285731</v>
      </c>
      <c r="G119" s="510">
        <f t="shared" si="16"/>
        <v>1749353.0815476207</v>
      </c>
      <c r="H119" s="523">
        <f t="shared" si="19"/>
        <v>727256.70999061398</v>
      </c>
      <c r="I119" s="572">
        <f t="shared" si="17"/>
        <v>727256.70999061398</v>
      </c>
      <c r="J119" s="504">
        <f t="shared" si="11"/>
        <v>0</v>
      </c>
      <c r="K119" s="504"/>
      <c r="L119" s="512"/>
      <c r="M119" s="504">
        <f t="shared" si="18"/>
        <v>0</v>
      </c>
      <c r="N119" s="512"/>
      <c r="O119" s="504">
        <f t="shared" si="12"/>
        <v>0</v>
      </c>
      <c r="P119" s="504">
        <f t="shared" si="13"/>
        <v>0</v>
      </c>
      <c r="Q119" s="243"/>
      <c r="R119" s="243"/>
      <c r="S119" s="243"/>
      <c r="T119" s="243"/>
      <c r="U119" s="243"/>
    </row>
    <row r="120" spans="2:21">
      <c r="B120" s="145" t="str">
        <f t="shared" si="10"/>
        <v/>
      </c>
      <c r="C120" s="495">
        <f>IF(D94="","-",+C119+1)</f>
        <v>2037</v>
      </c>
      <c r="D120" s="349">
        <f>IF(F119+SUM(E$100:E119)=D$93,F119,D$93-SUM(E$100:E119))</f>
        <v>1486101.5339285731</v>
      </c>
      <c r="E120" s="509">
        <f t="shared" si="14"/>
        <v>526503.09523809527</v>
      </c>
      <c r="F120" s="510">
        <f t="shared" si="15"/>
        <v>959598.43869047787</v>
      </c>
      <c r="G120" s="510">
        <f t="shared" si="16"/>
        <v>1222849.9863095256</v>
      </c>
      <c r="H120" s="523">
        <f t="shared" si="19"/>
        <v>666835.86032776115</v>
      </c>
      <c r="I120" s="572">
        <f t="shared" si="17"/>
        <v>666835.86032776115</v>
      </c>
      <c r="J120" s="504">
        <f t="shared" si="11"/>
        <v>0</v>
      </c>
      <c r="K120" s="504"/>
      <c r="L120" s="512"/>
      <c r="M120" s="504">
        <f t="shared" si="18"/>
        <v>0</v>
      </c>
      <c r="N120" s="512"/>
      <c r="O120" s="504">
        <f t="shared" si="12"/>
        <v>0</v>
      </c>
      <c r="P120" s="504">
        <f t="shared" si="13"/>
        <v>0</v>
      </c>
      <c r="Q120" s="243"/>
      <c r="R120" s="243"/>
      <c r="S120" s="243"/>
      <c r="T120" s="243"/>
      <c r="U120" s="243"/>
    </row>
    <row r="121" spans="2:21">
      <c r="B121" s="145" t="str">
        <f t="shared" si="10"/>
        <v/>
      </c>
      <c r="C121" s="495">
        <f>IF(D94="","-",+C120+1)</f>
        <v>2038</v>
      </c>
      <c r="D121" s="349">
        <f>IF(F120+SUM(E$100:E120)=D$93,F120,D$93-SUM(E$100:E120))</f>
        <v>959598.43869047787</v>
      </c>
      <c r="E121" s="509">
        <f t="shared" si="14"/>
        <v>526503.09523809527</v>
      </c>
      <c r="F121" s="510">
        <f t="shared" si="15"/>
        <v>433095.3434523826</v>
      </c>
      <c r="G121" s="510">
        <f t="shared" si="16"/>
        <v>696346.89107143017</v>
      </c>
      <c r="H121" s="523">
        <f t="shared" si="19"/>
        <v>606415.01066490822</v>
      </c>
      <c r="I121" s="572">
        <f t="shared" si="17"/>
        <v>606415.01066490822</v>
      </c>
      <c r="J121" s="504">
        <f t="shared" si="11"/>
        <v>0</v>
      </c>
      <c r="K121" s="504"/>
      <c r="L121" s="512"/>
      <c r="M121" s="504">
        <f t="shared" si="18"/>
        <v>0</v>
      </c>
      <c r="N121" s="512"/>
      <c r="O121" s="504">
        <f t="shared" si="12"/>
        <v>0</v>
      </c>
      <c r="P121" s="504">
        <f t="shared" si="13"/>
        <v>0</v>
      </c>
      <c r="Q121" s="243"/>
      <c r="R121" s="243"/>
      <c r="S121" s="243"/>
      <c r="T121" s="243"/>
      <c r="U121" s="243"/>
    </row>
    <row r="122" spans="2:21">
      <c r="B122" s="145" t="str">
        <f t="shared" si="10"/>
        <v/>
      </c>
      <c r="C122" s="495">
        <f>IF(D94="","-",+C121+1)</f>
        <v>2039</v>
      </c>
      <c r="D122" s="349">
        <f>IF(F121+SUM(E$100:E121)=D$93,F121,D$93-SUM(E$100:E121))</f>
        <v>433095.3434523826</v>
      </c>
      <c r="E122" s="509">
        <f t="shared" si="14"/>
        <v>433095.3434523826</v>
      </c>
      <c r="F122" s="510">
        <f t="shared" si="15"/>
        <v>0</v>
      </c>
      <c r="G122" s="510">
        <f t="shared" si="16"/>
        <v>216547.6717261913</v>
      </c>
      <c r="H122" s="523">
        <f t="shared" si="19"/>
        <v>457946.08875007584</v>
      </c>
      <c r="I122" s="572">
        <f t="shared" si="17"/>
        <v>457946.08875007584</v>
      </c>
      <c r="J122" s="504">
        <f t="shared" si="11"/>
        <v>0</v>
      </c>
      <c r="K122" s="504"/>
      <c r="L122" s="512"/>
      <c r="M122" s="504">
        <f t="shared" si="18"/>
        <v>0</v>
      </c>
      <c r="N122" s="512"/>
      <c r="O122" s="504">
        <f t="shared" si="12"/>
        <v>0</v>
      </c>
      <c r="P122" s="504">
        <f t="shared" si="13"/>
        <v>0</v>
      </c>
      <c r="Q122" s="243"/>
      <c r="R122" s="243"/>
      <c r="S122" s="243"/>
      <c r="T122" s="243"/>
      <c r="U122" s="243"/>
    </row>
    <row r="123" spans="2:21">
      <c r="B123" s="145" t="str">
        <f t="shared" si="10"/>
        <v/>
      </c>
      <c r="C123" s="495">
        <f>IF(D94="","-",+C122+1)</f>
        <v>2040</v>
      </c>
      <c r="D123" s="349">
        <f>IF(F122+SUM(E$100:E122)=D$93,F122,D$93-SUM(E$100:E122))</f>
        <v>0</v>
      </c>
      <c r="E123" s="509">
        <f t="shared" si="14"/>
        <v>0</v>
      </c>
      <c r="F123" s="510">
        <f t="shared" si="15"/>
        <v>0</v>
      </c>
      <c r="G123" s="510">
        <f t="shared" si="16"/>
        <v>0</v>
      </c>
      <c r="H123" s="523">
        <f t="shared" si="19"/>
        <v>0</v>
      </c>
      <c r="I123" s="572">
        <f t="shared" si="17"/>
        <v>0</v>
      </c>
      <c r="J123" s="504">
        <f t="shared" si="11"/>
        <v>0</v>
      </c>
      <c r="K123" s="504"/>
      <c r="L123" s="512"/>
      <c r="M123" s="504">
        <f t="shared" si="18"/>
        <v>0</v>
      </c>
      <c r="N123" s="512"/>
      <c r="O123" s="504">
        <f t="shared" si="12"/>
        <v>0</v>
      </c>
      <c r="P123" s="504">
        <f t="shared" si="13"/>
        <v>0</v>
      </c>
      <c r="Q123" s="243"/>
      <c r="R123" s="243"/>
      <c r="S123" s="243"/>
      <c r="T123" s="243"/>
      <c r="U123" s="243"/>
    </row>
    <row r="124" spans="2:21">
      <c r="B124" s="145" t="str">
        <f t="shared" si="10"/>
        <v/>
      </c>
      <c r="C124" s="495">
        <f>IF(D94="","-",+C123+1)</f>
        <v>2041</v>
      </c>
      <c r="D124" s="349">
        <f>IF(F123+SUM(E$100:E123)=D$93,F123,D$93-SUM(E$100:E123))</f>
        <v>0</v>
      </c>
      <c r="E124" s="509">
        <f t="shared" si="14"/>
        <v>0</v>
      </c>
      <c r="F124" s="510">
        <f t="shared" si="15"/>
        <v>0</v>
      </c>
      <c r="G124" s="510">
        <f t="shared" si="16"/>
        <v>0</v>
      </c>
      <c r="H124" s="523">
        <f t="shared" si="19"/>
        <v>0</v>
      </c>
      <c r="I124" s="572">
        <f t="shared" si="17"/>
        <v>0</v>
      </c>
      <c r="J124" s="504">
        <f t="shared" si="11"/>
        <v>0</v>
      </c>
      <c r="K124" s="504"/>
      <c r="L124" s="512"/>
      <c r="M124" s="504">
        <f t="shared" si="18"/>
        <v>0</v>
      </c>
      <c r="N124" s="512"/>
      <c r="O124" s="504">
        <f t="shared" si="12"/>
        <v>0</v>
      </c>
      <c r="P124" s="504">
        <f t="shared" si="13"/>
        <v>0</v>
      </c>
      <c r="Q124" s="243"/>
      <c r="R124" s="243"/>
      <c r="S124" s="243"/>
      <c r="T124" s="243"/>
      <c r="U124" s="243"/>
    </row>
    <row r="125" spans="2:21">
      <c r="B125" s="145" t="str">
        <f t="shared" si="10"/>
        <v/>
      </c>
      <c r="C125" s="495">
        <f>IF(D94="","-",+C124+1)</f>
        <v>2042</v>
      </c>
      <c r="D125" s="349">
        <f>IF(F124+SUM(E$100:E124)=D$93,F124,D$93-SUM(E$100:E124))</f>
        <v>0</v>
      </c>
      <c r="E125" s="509">
        <f t="shared" si="14"/>
        <v>0</v>
      </c>
      <c r="F125" s="510">
        <f t="shared" si="15"/>
        <v>0</v>
      </c>
      <c r="G125" s="510">
        <f t="shared" si="16"/>
        <v>0</v>
      </c>
      <c r="H125" s="523">
        <f t="shared" si="19"/>
        <v>0</v>
      </c>
      <c r="I125" s="572">
        <f t="shared" si="17"/>
        <v>0</v>
      </c>
      <c r="J125" s="504">
        <f t="shared" si="11"/>
        <v>0</v>
      </c>
      <c r="K125" s="504"/>
      <c r="L125" s="512"/>
      <c r="M125" s="504">
        <f t="shared" si="18"/>
        <v>0</v>
      </c>
      <c r="N125" s="512"/>
      <c r="O125" s="504">
        <f t="shared" si="12"/>
        <v>0</v>
      </c>
      <c r="P125" s="504">
        <f t="shared" si="13"/>
        <v>0</v>
      </c>
      <c r="Q125" s="243"/>
      <c r="R125" s="243"/>
      <c r="S125" s="243"/>
      <c r="T125" s="243"/>
      <c r="U125" s="243"/>
    </row>
    <row r="126" spans="2:21">
      <c r="B126" s="145" t="str">
        <f t="shared" si="10"/>
        <v/>
      </c>
      <c r="C126" s="495">
        <f>IF(D94="","-",+C125+1)</f>
        <v>2043</v>
      </c>
      <c r="D126" s="349">
        <f>IF(F125+SUM(E$100:E125)=D$93,F125,D$93-SUM(E$100:E125))</f>
        <v>0</v>
      </c>
      <c r="E126" s="509">
        <f t="shared" si="14"/>
        <v>0</v>
      </c>
      <c r="F126" s="510">
        <f t="shared" si="15"/>
        <v>0</v>
      </c>
      <c r="G126" s="510">
        <f t="shared" si="16"/>
        <v>0</v>
      </c>
      <c r="H126" s="523">
        <f t="shared" si="19"/>
        <v>0</v>
      </c>
      <c r="I126" s="572">
        <f t="shared" si="17"/>
        <v>0</v>
      </c>
      <c r="J126" s="504">
        <f t="shared" si="11"/>
        <v>0</v>
      </c>
      <c r="K126" s="504"/>
      <c r="L126" s="512"/>
      <c r="M126" s="504">
        <f t="shared" si="18"/>
        <v>0</v>
      </c>
      <c r="N126" s="512"/>
      <c r="O126" s="504">
        <f t="shared" si="12"/>
        <v>0</v>
      </c>
      <c r="P126" s="504">
        <f t="shared" si="13"/>
        <v>0</v>
      </c>
      <c r="Q126" s="243"/>
      <c r="R126" s="243"/>
      <c r="S126" s="243"/>
      <c r="T126" s="243"/>
      <c r="U126" s="243"/>
    </row>
    <row r="127" spans="2:21">
      <c r="B127" s="145" t="str">
        <f t="shared" si="10"/>
        <v/>
      </c>
      <c r="C127" s="495">
        <f>IF(D94="","-",+C126+1)</f>
        <v>2044</v>
      </c>
      <c r="D127" s="349">
        <f>IF(F126+SUM(E$100:E126)=D$93,F126,D$93-SUM(E$100:E126))</f>
        <v>0</v>
      </c>
      <c r="E127" s="509">
        <f t="shared" si="14"/>
        <v>0</v>
      </c>
      <c r="F127" s="510">
        <f t="shared" si="15"/>
        <v>0</v>
      </c>
      <c r="G127" s="510">
        <f t="shared" si="16"/>
        <v>0</v>
      </c>
      <c r="H127" s="523">
        <f t="shared" si="19"/>
        <v>0</v>
      </c>
      <c r="I127" s="572">
        <f t="shared" si="17"/>
        <v>0</v>
      </c>
      <c r="J127" s="504">
        <f t="shared" si="11"/>
        <v>0</v>
      </c>
      <c r="K127" s="504"/>
      <c r="L127" s="512"/>
      <c r="M127" s="504">
        <f t="shared" si="18"/>
        <v>0</v>
      </c>
      <c r="N127" s="512"/>
      <c r="O127" s="504">
        <f t="shared" si="12"/>
        <v>0</v>
      </c>
      <c r="P127" s="504">
        <f t="shared" si="13"/>
        <v>0</v>
      </c>
      <c r="Q127" s="243"/>
      <c r="R127" s="243"/>
      <c r="S127" s="243"/>
      <c r="T127" s="243"/>
      <c r="U127" s="243"/>
    </row>
    <row r="128" spans="2:21">
      <c r="B128" s="145" t="str">
        <f t="shared" si="10"/>
        <v/>
      </c>
      <c r="C128" s="495">
        <f>IF(D94="","-",+C127+1)</f>
        <v>2045</v>
      </c>
      <c r="D128" s="349">
        <f>IF(F127+SUM(E$100:E127)=D$93,F127,D$93-SUM(E$100:E127))</f>
        <v>0</v>
      </c>
      <c r="E128" s="509">
        <f t="shared" si="14"/>
        <v>0</v>
      </c>
      <c r="F128" s="510">
        <f t="shared" si="15"/>
        <v>0</v>
      </c>
      <c r="G128" s="510">
        <f t="shared" si="16"/>
        <v>0</v>
      </c>
      <c r="H128" s="523">
        <f t="shared" si="19"/>
        <v>0</v>
      </c>
      <c r="I128" s="572">
        <f t="shared" si="17"/>
        <v>0</v>
      </c>
      <c r="J128" s="504">
        <f t="shared" si="11"/>
        <v>0</v>
      </c>
      <c r="K128" s="504"/>
      <c r="L128" s="512"/>
      <c r="M128" s="504">
        <f t="shared" si="18"/>
        <v>0</v>
      </c>
      <c r="N128" s="512"/>
      <c r="O128" s="504">
        <f t="shared" si="12"/>
        <v>0</v>
      </c>
      <c r="P128" s="504">
        <f t="shared" si="13"/>
        <v>0</v>
      </c>
      <c r="Q128" s="243"/>
      <c r="R128" s="243"/>
      <c r="S128" s="243"/>
      <c r="T128" s="243"/>
      <c r="U128" s="243"/>
    </row>
    <row r="129" spans="2:21">
      <c r="B129" s="145" t="str">
        <f t="shared" si="10"/>
        <v/>
      </c>
      <c r="C129" s="495">
        <f>IF(D94="","-",+C128+1)</f>
        <v>2046</v>
      </c>
      <c r="D129" s="349">
        <f>IF(F128+SUM(E$100:E128)=D$93,F128,D$93-SUM(E$100:E128))</f>
        <v>0</v>
      </c>
      <c r="E129" s="509">
        <f t="shared" si="14"/>
        <v>0</v>
      </c>
      <c r="F129" s="510">
        <f t="shared" si="15"/>
        <v>0</v>
      </c>
      <c r="G129" s="510">
        <f t="shared" si="16"/>
        <v>0</v>
      </c>
      <c r="H129" s="523">
        <f t="shared" si="19"/>
        <v>0</v>
      </c>
      <c r="I129" s="572">
        <f t="shared" si="17"/>
        <v>0</v>
      </c>
      <c r="J129" s="504">
        <f t="shared" si="11"/>
        <v>0</v>
      </c>
      <c r="K129" s="504"/>
      <c r="L129" s="512"/>
      <c r="M129" s="504">
        <f t="shared" si="18"/>
        <v>0</v>
      </c>
      <c r="N129" s="512"/>
      <c r="O129" s="504">
        <f t="shared" si="12"/>
        <v>0</v>
      </c>
      <c r="P129" s="504">
        <f t="shared" si="13"/>
        <v>0</v>
      </c>
      <c r="Q129" s="243"/>
      <c r="R129" s="243"/>
      <c r="S129" s="243"/>
      <c r="T129" s="243"/>
      <c r="U129" s="243"/>
    </row>
    <row r="130" spans="2:21">
      <c r="B130" s="145" t="str">
        <f t="shared" si="10"/>
        <v/>
      </c>
      <c r="C130" s="495">
        <f>IF(D94="","-",+C129+1)</f>
        <v>2047</v>
      </c>
      <c r="D130" s="349">
        <f>IF(F129+SUM(E$100:E129)=D$93,F129,D$93-SUM(E$100:E129))</f>
        <v>0</v>
      </c>
      <c r="E130" s="509">
        <f t="shared" si="14"/>
        <v>0</v>
      </c>
      <c r="F130" s="510">
        <f t="shared" si="15"/>
        <v>0</v>
      </c>
      <c r="G130" s="510">
        <f t="shared" si="16"/>
        <v>0</v>
      </c>
      <c r="H130" s="523">
        <f t="shared" si="19"/>
        <v>0</v>
      </c>
      <c r="I130" s="572">
        <f t="shared" si="17"/>
        <v>0</v>
      </c>
      <c r="J130" s="504">
        <f t="shared" si="11"/>
        <v>0</v>
      </c>
      <c r="K130" s="504"/>
      <c r="L130" s="512"/>
      <c r="M130" s="504">
        <f t="shared" si="18"/>
        <v>0</v>
      </c>
      <c r="N130" s="512"/>
      <c r="O130" s="504">
        <f t="shared" si="12"/>
        <v>0</v>
      </c>
      <c r="P130" s="504">
        <f t="shared" si="13"/>
        <v>0</v>
      </c>
      <c r="Q130" s="243"/>
      <c r="R130" s="243"/>
      <c r="S130" s="243"/>
      <c r="T130" s="243"/>
      <c r="U130" s="243"/>
    </row>
    <row r="131" spans="2:21">
      <c r="B131" s="145" t="str">
        <f t="shared" si="10"/>
        <v/>
      </c>
      <c r="C131" s="495">
        <f>IF(D94="","-",+C130+1)</f>
        <v>2048</v>
      </c>
      <c r="D131" s="349">
        <f>IF(F130+SUM(E$100:E130)=D$93,F130,D$93-SUM(E$100:E130))</f>
        <v>0</v>
      </c>
      <c r="E131" s="509">
        <f t="shared" si="14"/>
        <v>0</v>
      </c>
      <c r="F131" s="510">
        <f t="shared" si="15"/>
        <v>0</v>
      </c>
      <c r="G131" s="510">
        <f t="shared" si="16"/>
        <v>0</v>
      </c>
      <c r="H131" s="523">
        <f t="shared" si="19"/>
        <v>0</v>
      </c>
      <c r="I131" s="572">
        <f t="shared" si="17"/>
        <v>0</v>
      </c>
      <c r="J131" s="504">
        <f t="shared" si="11"/>
        <v>0</v>
      </c>
      <c r="K131" s="504"/>
      <c r="L131" s="512"/>
      <c r="M131" s="504">
        <f t="shared" si="18"/>
        <v>0</v>
      </c>
      <c r="N131" s="512"/>
      <c r="O131" s="504">
        <f t="shared" si="12"/>
        <v>0</v>
      </c>
      <c r="P131" s="504">
        <f t="shared" si="13"/>
        <v>0</v>
      </c>
      <c r="Q131" s="243"/>
      <c r="R131" s="243"/>
      <c r="S131" s="243"/>
      <c r="T131" s="243"/>
      <c r="U131" s="243"/>
    </row>
    <row r="132" spans="2:21">
      <c r="B132" s="145" t="str">
        <f t="shared" si="10"/>
        <v/>
      </c>
      <c r="C132" s="495">
        <f>IF(D94="","-",+C131+1)</f>
        <v>2049</v>
      </c>
      <c r="D132" s="349">
        <f>IF(F131+SUM(E$100:E131)=D$93,F131,D$93-SUM(E$100:E131))</f>
        <v>0</v>
      </c>
      <c r="E132" s="509">
        <f t="shared" si="14"/>
        <v>0</v>
      </c>
      <c r="F132" s="510">
        <f t="shared" si="15"/>
        <v>0</v>
      </c>
      <c r="G132" s="510">
        <f t="shared" si="16"/>
        <v>0</v>
      </c>
      <c r="H132" s="523">
        <f t="shared" si="19"/>
        <v>0</v>
      </c>
      <c r="I132" s="572">
        <f t="shared" si="17"/>
        <v>0</v>
      </c>
      <c r="J132" s="504">
        <f t="shared" si="11"/>
        <v>0</v>
      </c>
      <c r="K132" s="504"/>
      <c r="L132" s="512"/>
      <c r="M132" s="504">
        <f t="shared" si="18"/>
        <v>0</v>
      </c>
      <c r="N132" s="512"/>
      <c r="O132" s="504">
        <f t="shared" si="12"/>
        <v>0</v>
      </c>
      <c r="P132" s="504">
        <f t="shared" si="13"/>
        <v>0</v>
      </c>
      <c r="Q132" s="243"/>
      <c r="R132" s="243"/>
      <c r="S132" s="243"/>
      <c r="T132" s="243"/>
      <c r="U132" s="243"/>
    </row>
    <row r="133" spans="2:21">
      <c r="B133" s="145" t="str">
        <f t="shared" si="10"/>
        <v/>
      </c>
      <c r="C133" s="495">
        <f>IF(D94="","-",+C132+1)</f>
        <v>2050</v>
      </c>
      <c r="D133" s="349">
        <f>IF(F132+SUM(E$100:E132)=D$93,F132,D$93-SUM(E$100:E132))</f>
        <v>0</v>
      </c>
      <c r="E133" s="509">
        <f t="shared" si="14"/>
        <v>0</v>
      </c>
      <c r="F133" s="510">
        <f t="shared" si="15"/>
        <v>0</v>
      </c>
      <c r="G133" s="510">
        <f t="shared" si="16"/>
        <v>0</v>
      </c>
      <c r="H133" s="523">
        <f t="shared" si="19"/>
        <v>0</v>
      </c>
      <c r="I133" s="572">
        <f t="shared" si="17"/>
        <v>0</v>
      </c>
      <c r="J133" s="504">
        <f t="shared" si="11"/>
        <v>0</v>
      </c>
      <c r="K133" s="504"/>
      <c r="L133" s="512"/>
      <c r="M133" s="504">
        <f t="shared" si="18"/>
        <v>0</v>
      </c>
      <c r="N133" s="512"/>
      <c r="O133" s="504">
        <f t="shared" si="12"/>
        <v>0</v>
      </c>
      <c r="P133" s="504">
        <f t="shared" si="13"/>
        <v>0</v>
      </c>
      <c r="Q133" s="243"/>
      <c r="R133" s="243"/>
      <c r="S133" s="243"/>
      <c r="T133" s="243"/>
      <c r="U133" s="243"/>
    </row>
    <row r="134" spans="2:21">
      <c r="B134" s="145" t="str">
        <f t="shared" si="10"/>
        <v/>
      </c>
      <c r="C134" s="495">
        <f>IF(D94="","-",+C133+1)</f>
        <v>2051</v>
      </c>
      <c r="D134" s="349">
        <f>IF(F133+SUM(E$100:E133)=D$93,F133,D$93-SUM(E$100:E133))</f>
        <v>0</v>
      </c>
      <c r="E134" s="509">
        <f t="shared" si="14"/>
        <v>0</v>
      </c>
      <c r="F134" s="510">
        <f t="shared" si="15"/>
        <v>0</v>
      </c>
      <c r="G134" s="510">
        <f t="shared" si="16"/>
        <v>0</v>
      </c>
      <c r="H134" s="523">
        <f t="shared" si="19"/>
        <v>0</v>
      </c>
      <c r="I134" s="572">
        <f t="shared" si="17"/>
        <v>0</v>
      </c>
      <c r="J134" s="504">
        <f t="shared" si="11"/>
        <v>0</v>
      </c>
      <c r="K134" s="504"/>
      <c r="L134" s="512"/>
      <c r="M134" s="504">
        <f t="shared" si="18"/>
        <v>0</v>
      </c>
      <c r="N134" s="512"/>
      <c r="O134" s="504">
        <f t="shared" si="12"/>
        <v>0</v>
      </c>
      <c r="P134" s="504">
        <f t="shared" si="13"/>
        <v>0</v>
      </c>
      <c r="Q134" s="243"/>
      <c r="R134" s="243"/>
      <c r="S134" s="243"/>
      <c r="T134" s="243"/>
      <c r="U134" s="243"/>
    </row>
    <row r="135" spans="2:21">
      <c r="B135" s="145" t="str">
        <f t="shared" si="10"/>
        <v/>
      </c>
      <c r="C135" s="495">
        <f>IF(D94="","-",+C134+1)</f>
        <v>2052</v>
      </c>
      <c r="D135" s="349">
        <f>IF(F134+SUM(E$100:E134)=D$93,F134,D$93-SUM(E$100:E134))</f>
        <v>0</v>
      </c>
      <c r="E135" s="509">
        <f t="shared" ref="E135:E155" si="20">IF(+J$97&lt;F134,J$97,D135)</f>
        <v>0</v>
      </c>
      <c r="F135" s="510">
        <f t="shared" si="15"/>
        <v>0</v>
      </c>
      <c r="G135" s="510">
        <f t="shared" si="16"/>
        <v>0</v>
      </c>
      <c r="H135" s="523">
        <f t="shared" si="19"/>
        <v>0</v>
      </c>
      <c r="I135" s="572">
        <f t="shared" si="17"/>
        <v>0</v>
      </c>
      <c r="J135" s="504">
        <f t="shared" si="11"/>
        <v>0</v>
      </c>
      <c r="K135" s="504"/>
      <c r="L135" s="512"/>
      <c r="M135" s="504">
        <f t="shared" si="18"/>
        <v>0</v>
      </c>
      <c r="N135" s="512"/>
      <c r="O135" s="504">
        <f t="shared" si="12"/>
        <v>0</v>
      </c>
      <c r="P135" s="504">
        <f t="shared" si="13"/>
        <v>0</v>
      </c>
      <c r="Q135" s="243"/>
      <c r="R135" s="243"/>
      <c r="S135" s="243"/>
      <c r="T135" s="243"/>
      <c r="U135" s="243"/>
    </row>
    <row r="136" spans="2:21">
      <c r="B136" s="145" t="str">
        <f t="shared" si="10"/>
        <v/>
      </c>
      <c r="C136" s="495">
        <f>IF(D94="","-",+C135+1)</f>
        <v>2053</v>
      </c>
      <c r="D136" s="349">
        <f>IF(F135+SUM(E$100:E135)=D$93,F135,D$93-SUM(E$100:E135))</f>
        <v>0</v>
      </c>
      <c r="E136" s="509">
        <f t="shared" si="20"/>
        <v>0</v>
      </c>
      <c r="F136" s="510">
        <f t="shared" si="15"/>
        <v>0</v>
      </c>
      <c r="G136" s="510">
        <f t="shared" si="16"/>
        <v>0</v>
      </c>
      <c r="H136" s="523">
        <f t="shared" si="19"/>
        <v>0</v>
      </c>
      <c r="I136" s="572">
        <f t="shared" si="17"/>
        <v>0</v>
      </c>
      <c r="J136" s="504">
        <f t="shared" si="11"/>
        <v>0</v>
      </c>
      <c r="K136" s="504"/>
      <c r="L136" s="512"/>
      <c r="M136" s="504">
        <f t="shared" si="18"/>
        <v>0</v>
      </c>
      <c r="N136" s="512"/>
      <c r="O136" s="504">
        <f t="shared" si="12"/>
        <v>0</v>
      </c>
      <c r="P136" s="504">
        <f t="shared" si="13"/>
        <v>0</v>
      </c>
      <c r="Q136" s="243"/>
      <c r="R136" s="243"/>
      <c r="S136" s="243"/>
      <c r="T136" s="243"/>
      <c r="U136" s="243"/>
    </row>
    <row r="137" spans="2:21">
      <c r="B137" s="145" t="str">
        <f t="shared" si="10"/>
        <v/>
      </c>
      <c r="C137" s="495">
        <f>IF(D94="","-",+C136+1)</f>
        <v>2054</v>
      </c>
      <c r="D137" s="349">
        <f>IF(F136+SUM(E$100:E136)=D$93,F136,D$93-SUM(E$100:E136))</f>
        <v>0</v>
      </c>
      <c r="E137" s="509">
        <f t="shared" si="20"/>
        <v>0</v>
      </c>
      <c r="F137" s="510">
        <f t="shared" si="15"/>
        <v>0</v>
      </c>
      <c r="G137" s="510">
        <f t="shared" si="16"/>
        <v>0</v>
      </c>
      <c r="H137" s="523">
        <f t="shared" si="19"/>
        <v>0</v>
      </c>
      <c r="I137" s="572">
        <f t="shared" si="17"/>
        <v>0</v>
      </c>
      <c r="J137" s="504">
        <f t="shared" si="11"/>
        <v>0</v>
      </c>
      <c r="K137" s="504"/>
      <c r="L137" s="512"/>
      <c r="M137" s="504">
        <f t="shared" si="18"/>
        <v>0</v>
      </c>
      <c r="N137" s="512"/>
      <c r="O137" s="504">
        <f t="shared" si="12"/>
        <v>0</v>
      </c>
      <c r="P137" s="504">
        <f t="shared" si="13"/>
        <v>0</v>
      </c>
      <c r="Q137" s="243"/>
      <c r="R137" s="243"/>
      <c r="S137" s="243"/>
      <c r="T137" s="243"/>
      <c r="U137" s="243"/>
    </row>
    <row r="138" spans="2:21">
      <c r="B138" s="145" t="str">
        <f t="shared" si="10"/>
        <v/>
      </c>
      <c r="C138" s="495">
        <f>IF(D94="","-",+C137+1)</f>
        <v>2055</v>
      </c>
      <c r="D138" s="349">
        <f>IF(F137+SUM(E$100:E137)=D$93,F137,D$93-SUM(E$100:E137))</f>
        <v>0</v>
      </c>
      <c r="E138" s="509">
        <f t="shared" si="20"/>
        <v>0</v>
      </c>
      <c r="F138" s="510">
        <f t="shared" si="15"/>
        <v>0</v>
      </c>
      <c r="G138" s="510">
        <f t="shared" si="16"/>
        <v>0</v>
      </c>
      <c r="H138" s="523">
        <f t="shared" si="19"/>
        <v>0</v>
      </c>
      <c r="I138" s="572">
        <f t="shared" si="17"/>
        <v>0</v>
      </c>
      <c r="J138" s="504">
        <f t="shared" si="11"/>
        <v>0</v>
      </c>
      <c r="K138" s="504"/>
      <c r="L138" s="512"/>
      <c r="M138" s="504">
        <f t="shared" si="18"/>
        <v>0</v>
      </c>
      <c r="N138" s="512"/>
      <c r="O138" s="504">
        <f t="shared" si="12"/>
        <v>0</v>
      </c>
      <c r="P138" s="504">
        <f t="shared" si="13"/>
        <v>0</v>
      </c>
      <c r="Q138" s="243"/>
      <c r="R138" s="243"/>
      <c r="S138" s="243"/>
      <c r="T138" s="243"/>
      <c r="U138" s="243"/>
    </row>
    <row r="139" spans="2:21">
      <c r="B139" s="145" t="str">
        <f t="shared" si="10"/>
        <v/>
      </c>
      <c r="C139" s="495">
        <f>IF(D94="","-",+C138+1)</f>
        <v>2056</v>
      </c>
      <c r="D139" s="349">
        <f>IF(F138+SUM(E$100:E138)=D$93,F138,D$93-SUM(E$100:E138))</f>
        <v>0</v>
      </c>
      <c r="E139" s="509">
        <f t="shared" si="20"/>
        <v>0</v>
      </c>
      <c r="F139" s="510">
        <f t="shared" si="15"/>
        <v>0</v>
      </c>
      <c r="G139" s="510">
        <f t="shared" si="16"/>
        <v>0</v>
      </c>
      <c r="H139" s="523">
        <f t="shared" si="19"/>
        <v>0</v>
      </c>
      <c r="I139" s="572">
        <f t="shared" si="17"/>
        <v>0</v>
      </c>
      <c r="J139" s="504">
        <f t="shared" si="11"/>
        <v>0</v>
      </c>
      <c r="K139" s="504"/>
      <c r="L139" s="512"/>
      <c r="M139" s="504">
        <f t="shared" si="18"/>
        <v>0</v>
      </c>
      <c r="N139" s="512"/>
      <c r="O139" s="504">
        <f t="shared" si="12"/>
        <v>0</v>
      </c>
      <c r="P139" s="504">
        <f t="shared" si="13"/>
        <v>0</v>
      </c>
      <c r="Q139" s="243"/>
      <c r="R139" s="243"/>
      <c r="S139" s="243"/>
      <c r="T139" s="243"/>
      <c r="U139" s="243"/>
    </row>
    <row r="140" spans="2:21">
      <c r="B140" s="145" t="str">
        <f t="shared" si="10"/>
        <v/>
      </c>
      <c r="C140" s="495">
        <f>IF(D94="","-",+C139+1)</f>
        <v>2057</v>
      </c>
      <c r="D140" s="349">
        <f>IF(F139+SUM(E$100:E139)=D$93,F139,D$93-SUM(E$100:E139))</f>
        <v>0</v>
      </c>
      <c r="E140" s="509">
        <f t="shared" si="20"/>
        <v>0</v>
      </c>
      <c r="F140" s="510">
        <f t="shared" si="15"/>
        <v>0</v>
      </c>
      <c r="G140" s="510">
        <f t="shared" si="16"/>
        <v>0</v>
      </c>
      <c r="H140" s="523">
        <f t="shared" si="19"/>
        <v>0</v>
      </c>
      <c r="I140" s="572">
        <f t="shared" si="17"/>
        <v>0</v>
      </c>
      <c r="J140" s="504">
        <f t="shared" si="11"/>
        <v>0</v>
      </c>
      <c r="K140" s="504"/>
      <c r="L140" s="512"/>
      <c r="M140" s="504">
        <f t="shared" si="18"/>
        <v>0</v>
      </c>
      <c r="N140" s="512"/>
      <c r="O140" s="504">
        <f t="shared" si="12"/>
        <v>0</v>
      </c>
      <c r="P140" s="504">
        <f t="shared" si="13"/>
        <v>0</v>
      </c>
      <c r="Q140" s="243"/>
      <c r="R140" s="243"/>
      <c r="S140" s="243"/>
      <c r="T140" s="243"/>
      <c r="U140" s="243"/>
    </row>
    <row r="141" spans="2:21">
      <c r="B141" s="145" t="str">
        <f t="shared" si="10"/>
        <v/>
      </c>
      <c r="C141" s="495">
        <f>IF(D94="","-",+C140+1)</f>
        <v>2058</v>
      </c>
      <c r="D141" s="349">
        <f>IF(F140+SUM(E$100:E140)=D$93,F140,D$93-SUM(E$100:E140))</f>
        <v>0</v>
      </c>
      <c r="E141" s="509">
        <f t="shared" si="20"/>
        <v>0</v>
      </c>
      <c r="F141" s="510">
        <f t="shared" si="15"/>
        <v>0</v>
      </c>
      <c r="G141" s="510">
        <f t="shared" si="16"/>
        <v>0</v>
      </c>
      <c r="H141" s="523">
        <f t="shared" si="19"/>
        <v>0</v>
      </c>
      <c r="I141" s="572">
        <f t="shared" si="17"/>
        <v>0</v>
      </c>
      <c r="J141" s="504">
        <f t="shared" si="11"/>
        <v>0</v>
      </c>
      <c r="K141" s="504"/>
      <c r="L141" s="512"/>
      <c r="M141" s="504">
        <f t="shared" si="18"/>
        <v>0</v>
      </c>
      <c r="N141" s="512"/>
      <c r="O141" s="504">
        <f t="shared" si="12"/>
        <v>0</v>
      </c>
      <c r="P141" s="504">
        <f t="shared" si="13"/>
        <v>0</v>
      </c>
      <c r="Q141" s="243"/>
      <c r="R141" s="243"/>
      <c r="S141" s="243"/>
      <c r="T141" s="243"/>
      <c r="U141" s="243"/>
    </row>
    <row r="142" spans="2:21">
      <c r="B142" s="145" t="str">
        <f t="shared" si="10"/>
        <v/>
      </c>
      <c r="C142" s="495">
        <f>IF(D94="","-",+C141+1)</f>
        <v>2059</v>
      </c>
      <c r="D142" s="349">
        <f>IF(F141+SUM(E$100:E141)=D$93,F141,D$93-SUM(E$100:E141))</f>
        <v>0</v>
      </c>
      <c r="E142" s="509">
        <f t="shared" si="20"/>
        <v>0</v>
      </c>
      <c r="F142" s="510">
        <f t="shared" si="15"/>
        <v>0</v>
      </c>
      <c r="G142" s="510">
        <f t="shared" si="16"/>
        <v>0</v>
      </c>
      <c r="H142" s="523">
        <f t="shared" si="19"/>
        <v>0</v>
      </c>
      <c r="I142" s="572">
        <f t="shared" si="17"/>
        <v>0</v>
      </c>
      <c r="J142" s="504">
        <f t="shared" si="11"/>
        <v>0</v>
      </c>
      <c r="K142" s="504"/>
      <c r="L142" s="512"/>
      <c r="M142" s="504">
        <f t="shared" si="18"/>
        <v>0</v>
      </c>
      <c r="N142" s="512"/>
      <c r="O142" s="504">
        <f t="shared" si="12"/>
        <v>0</v>
      </c>
      <c r="P142" s="504">
        <f t="shared" si="13"/>
        <v>0</v>
      </c>
      <c r="Q142" s="243"/>
      <c r="R142" s="243"/>
      <c r="S142" s="243"/>
      <c r="T142" s="243"/>
      <c r="U142" s="243"/>
    </row>
    <row r="143" spans="2:21">
      <c r="B143" s="145" t="str">
        <f t="shared" si="10"/>
        <v/>
      </c>
      <c r="C143" s="495">
        <f>IF(D94="","-",+C142+1)</f>
        <v>2060</v>
      </c>
      <c r="D143" s="349">
        <f>IF(F142+SUM(E$100:E142)=D$93,F142,D$93-SUM(E$100:E142))</f>
        <v>0</v>
      </c>
      <c r="E143" s="509">
        <f t="shared" si="20"/>
        <v>0</v>
      </c>
      <c r="F143" s="510">
        <f t="shared" si="15"/>
        <v>0</v>
      </c>
      <c r="G143" s="510">
        <f t="shared" si="16"/>
        <v>0</v>
      </c>
      <c r="H143" s="523">
        <f t="shared" si="19"/>
        <v>0</v>
      </c>
      <c r="I143" s="572">
        <f t="shared" si="17"/>
        <v>0</v>
      </c>
      <c r="J143" s="504">
        <f t="shared" si="11"/>
        <v>0</v>
      </c>
      <c r="K143" s="504"/>
      <c r="L143" s="512"/>
      <c r="M143" s="504">
        <f t="shared" si="18"/>
        <v>0</v>
      </c>
      <c r="N143" s="512"/>
      <c r="O143" s="504">
        <f t="shared" si="12"/>
        <v>0</v>
      </c>
      <c r="P143" s="504">
        <f t="shared" si="13"/>
        <v>0</v>
      </c>
      <c r="Q143" s="243"/>
      <c r="R143" s="243"/>
      <c r="S143" s="243"/>
      <c r="T143" s="243"/>
      <c r="U143" s="243"/>
    </row>
    <row r="144" spans="2:21">
      <c r="B144" s="145" t="str">
        <f t="shared" si="10"/>
        <v/>
      </c>
      <c r="C144" s="495">
        <f>IF(D94="","-",+C143+1)</f>
        <v>2061</v>
      </c>
      <c r="D144" s="349">
        <f>IF(F143+SUM(E$100:E143)=D$93,F143,D$93-SUM(E$100:E143))</f>
        <v>0</v>
      </c>
      <c r="E144" s="509">
        <f t="shared" si="20"/>
        <v>0</v>
      </c>
      <c r="F144" s="510">
        <f t="shared" si="15"/>
        <v>0</v>
      </c>
      <c r="G144" s="510">
        <f t="shared" si="16"/>
        <v>0</v>
      </c>
      <c r="H144" s="523">
        <f t="shared" si="19"/>
        <v>0</v>
      </c>
      <c r="I144" s="572">
        <f t="shared" si="17"/>
        <v>0</v>
      </c>
      <c r="J144" s="504">
        <f t="shared" si="11"/>
        <v>0</v>
      </c>
      <c r="K144" s="504"/>
      <c r="L144" s="512"/>
      <c r="M144" s="504">
        <f t="shared" si="18"/>
        <v>0</v>
      </c>
      <c r="N144" s="512"/>
      <c r="O144" s="504">
        <f t="shared" si="12"/>
        <v>0</v>
      </c>
      <c r="P144" s="504">
        <f t="shared" si="13"/>
        <v>0</v>
      </c>
      <c r="Q144" s="243"/>
      <c r="R144" s="243"/>
      <c r="S144" s="243"/>
      <c r="T144" s="243"/>
      <c r="U144" s="243"/>
    </row>
    <row r="145" spans="2:21">
      <c r="B145" s="145" t="str">
        <f t="shared" si="10"/>
        <v/>
      </c>
      <c r="C145" s="495">
        <f>IF(D94="","-",+C144+1)</f>
        <v>2062</v>
      </c>
      <c r="D145" s="349">
        <f>IF(F144+SUM(E$100:E144)=D$93,F144,D$93-SUM(E$100:E144))</f>
        <v>0</v>
      </c>
      <c r="E145" s="509">
        <f t="shared" si="20"/>
        <v>0</v>
      </c>
      <c r="F145" s="510">
        <f t="shared" si="15"/>
        <v>0</v>
      </c>
      <c r="G145" s="510">
        <f t="shared" si="16"/>
        <v>0</v>
      </c>
      <c r="H145" s="523">
        <f t="shared" si="19"/>
        <v>0</v>
      </c>
      <c r="I145" s="572">
        <f t="shared" si="17"/>
        <v>0</v>
      </c>
      <c r="J145" s="504">
        <f t="shared" si="11"/>
        <v>0</v>
      </c>
      <c r="K145" s="504"/>
      <c r="L145" s="512"/>
      <c r="M145" s="504">
        <f t="shared" si="18"/>
        <v>0</v>
      </c>
      <c r="N145" s="512"/>
      <c r="O145" s="504">
        <f t="shared" si="12"/>
        <v>0</v>
      </c>
      <c r="P145" s="504">
        <f t="shared" si="13"/>
        <v>0</v>
      </c>
      <c r="Q145" s="243"/>
      <c r="R145" s="243"/>
      <c r="S145" s="243"/>
      <c r="T145" s="243"/>
      <c r="U145" s="243"/>
    </row>
    <row r="146" spans="2:21">
      <c r="B146" s="145" t="str">
        <f t="shared" si="10"/>
        <v/>
      </c>
      <c r="C146" s="495">
        <f>IF(D94="","-",+C145+1)</f>
        <v>2063</v>
      </c>
      <c r="D146" s="349">
        <f>IF(F145+SUM(E$100:E145)=D$93,F145,D$93-SUM(E$100:E145))</f>
        <v>0</v>
      </c>
      <c r="E146" s="509">
        <f t="shared" si="20"/>
        <v>0</v>
      </c>
      <c r="F146" s="510">
        <f t="shared" si="15"/>
        <v>0</v>
      </c>
      <c r="G146" s="510">
        <f t="shared" si="16"/>
        <v>0</v>
      </c>
      <c r="H146" s="523">
        <f t="shared" si="19"/>
        <v>0</v>
      </c>
      <c r="I146" s="572">
        <f t="shared" si="17"/>
        <v>0</v>
      </c>
      <c r="J146" s="504">
        <f t="shared" si="11"/>
        <v>0</v>
      </c>
      <c r="K146" s="504"/>
      <c r="L146" s="512"/>
      <c r="M146" s="504">
        <f t="shared" si="18"/>
        <v>0</v>
      </c>
      <c r="N146" s="512"/>
      <c r="O146" s="504">
        <f t="shared" si="12"/>
        <v>0</v>
      </c>
      <c r="P146" s="504">
        <f t="shared" si="13"/>
        <v>0</v>
      </c>
      <c r="Q146" s="243"/>
      <c r="R146" s="243"/>
      <c r="S146" s="243"/>
      <c r="T146" s="243"/>
      <c r="U146" s="243"/>
    </row>
    <row r="147" spans="2:21">
      <c r="B147" s="145" t="str">
        <f t="shared" si="10"/>
        <v/>
      </c>
      <c r="C147" s="495">
        <f>IF(D94="","-",+C146+1)</f>
        <v>2064</v>
      </c>
      <c r="D147" s="349">
        <f>IF(F146+SUM(E$100:E146)=D$93,F146,D$93-SUM(E$100:E146))</f>
        <v>0</v>
      </c>
      <c r="E147" s="509">
        <f t="shared" si="20"/>
        <v>0</v>
      </c>
      <c r="F147" s="510">
        <f t="shared" si="15"/>
        <v>0</v>
      </c>
      <c r="G147" s="510">
        <f t="shared" si="16"/>
        <v>0</v>
      </c>
      <c r="H147" s="523">
        <f t="shared" si="19"/>
        <v>0</v>
      </c>
      <c r="I147" s="572">
        <f t="shared" si="17"/>
        <v>0</v>
      </c>
      <c r="J147" s="504">
        <f t="shared" si="11"/>
        <v>0</v>
      </c>
      <c r="K147" s="504"/>
      <c r="L147" s="512"/>
      <c r="M147" s="504">
        <f t="shared" si="18"/>
        <v>0</v>
      </c>
      <c r="N147" s="512"/>
      <c r="O147" s="504">
        <f t="shared" si="12"/>
        <v>0</v>
      </c>
      <c r="P147" s="504">
        <f t="shared" si="13"/>
        <v>0</v>
      </c>
      <c r="Q147" s="243"/>
      <c r="R147" s="243"/>
      <c r="S147" s="243"/>
      <c r="T147" s="243"/>
      <c r="U147" s="243"/>
    </row>
    <row r="148" spans="2:21">
      <c r="B148" s="145" t="str">
        <f t="shared" si="10"/>
        <v/>
      </c>
      <c r="C148" s="495">
        <f>IF(D94="","-",+C147+1)</f>
        <v>2065</v>
      </c>
      <c r="D148" s="349">
        <f>IF(F147+SUM(E$100:E147)=D$93,F147,D$93-SUM(E$100:E147))</f>
        <v>0</v>
      </c>
      <c r="E148" s="509">
        <f t="shared" si="20"/>
        <v>0</v>
      </c>
      <c r="F148" s="510">
        <f t="shared" si="15"/>
        <v>0</v>
      </c>
      <c r="G148" s="510">
        <f t="shared" si="16"/>
        <v>0</v>
      </c>
      <c r="H148" s="523">
        <f t="shared" si="19"/>
        <v>0</v>
      </c>
      <c r="I148" s="572">
        <f t="shared" si="17"/>
        <v>0</v>
      </c>
      <c r="J148" s="504">
        <f t="shared" si="11"/>
        <v>0</v>
      </c>
      <c r="K148" s="504"/>
      <c r="L148" s="512"/>
      <c r="M148" s="504">
        <f t="shared" si="18"/>
        <v>0</v>
      </c>
      <c r="N148" s="512"/>
      <c r="O148" s="504">
        <f t="shared" si="12"/>
        <v>0</v>
      </c>
      <c r="P148" s="504">
        <f t="shared" si="13"/>
        <v>0</v>
      </c>
      <c r="Q148" s="243"/>
      <c r="R148" s="243"/>
      <c r="S148" s="243"/>
      <c r="T148" s="243"/>
      <c r="U148" s="243"/>
    </row>
    <row r="149" spans="2:21">
      <c r="B149" s="145" t="str">
        <f t="shared" si="10"/>
        <v/>
      </c>
      <c r="C149" s="495">
        <f>IF(D94="","-",+C148+1)</f>
        <v>2066</v>
      </c>
      <c r="D149" s="349">
        <f>IF(F148+SUM(E$100:E148)=D$93,F148,D$93-SUM(E$100:E148))</f>
        <v>0</v>
      </c>
      <c r="E149" s="509">
        <f t="shared" si="20"/>
        <v>0</v>
      </c>
      <c r="F149" s="510">
        <f t="shared" si="15"/>
        <v>0</v>
      </c>
      <c r="G149" s="510">
        <f t="shared" si="16"/>
        <v>0</v>
      </c>
      <c r="H149" s="523">
        <f t="shared" si="19"/>
        <v>0</v>
      </c>
      <c r="I149" s="572">
        <f t="shared" si="17"/>
        <v>0</v>
      </c>
      <c r="J149" s="504">
        <f t="shared" si="11"/>
        <v>0</v>
      </c>
      <c r="K149" s="504"/>
      <c r="L149" s="512"/>
      <c r="M149" s="504">
        <f t="shared" si="18"/>
        <v>0</v>
      </c>
      <c r="N149" s="512"/>
      <c r="O149" s="504">
        <f t="shared" si="12"/>
        <v>0</v>
      </c>
      <c r="P149" s="504">
        <f t="shared" si="13"/>
        <v>0</v>
      </c>
      <c r="Q149" s="243"/>
      <c r="R149" s="243"/>
      <c r="S149" s="243"/>
      <c r="T149" s="243"/>
      <c r="U149" s="243"/>
    </row>
    <row r="150" spans="2:21">
      <c r="B150" s="145" t="str">
        <f t="shared" si="10"/>
        <v/>
      </c>
      <c r="C150" s="495">
        <f>IF(D94="","-",+C149+1)</f>
        <v>2067</v>
      </c>
      <c r="D150" s="349">
        <f>IF(F149+SUM(E$100:E149)=D$93,F149,D$93-SUM(E$100:E149))</f>
        <v>0</v>
      </c>
      <c r="E150" s="509">
        <f t="shared" si="20"/>
        <v>0</v>
      </c>
      <c r="F150" s="510">
        <f t="shared" si="15"/>
        <v>0</v>
      </c>
      <c r="G150" s="510">
        <f t="shared" si="16"/>
        <v>0</v>
      </c>
      <c r="H150" s="523">
        <f t="shared" si="19"/>
        <v>0</v>
      </c>
      <c r="I150" s="572">
        <f t="shared" si="17"/>
        <v>0</v>
      </c>
      <c r="J150" s="504">
        <f t="shared" si="11"/>
        <v>0</v>
      </c>
      <c r="K150" s="504"/>
      <c r="L150" s="512"/>
      <c r="M150" s="504">
        <f t="shared" si="18"/>
        <v>0</v>
      </c>
      <c r="N150" s="512"/>
      <c r="O150" s="504">
        <f t="shared" si="12"/>
        <v>0</v>
      </c>
      <c r="P150" s="504">
        <f t="shared" si="13"/>
        <v>0</v>
      </c>
      <c r="Q150" s="243"/>
      <c r="R150" s="243"/>
      <c r="S150" s="243"/>
      <c r="T150" s="243"/>
      <c r="U150" s="243"/>
    </row>
    <row r="151" spans="2:21">
      <c r="B151" s="145" t="str">
        <f t="shared" si="10"/>
        <v/>
      </c>
      <c r="C151" s="495">
        <f>IF(D94="","-",+C150+1)</f>
        <v>2068</v>
      </c>
      <c r="D151" s="349">
        <f>IF(F150+SUM(E$100:E150)=D$93,F150,D$93-SUM(E$100:E150))</f>
        <v>0</v>
      </c>
      <c r="E151" s="509">
        <f t="shared" si="20"/>
        <v>0</v>
      </c>
      <c r="F151" s="510">
        <f t="shared" si="15"/>
        <v>0</v>
      </c>
      <c r="G151" s="510">
        <f t="shared" si="16"/>
        <v>0</v>
      </c>
      <c r="H151" s="523">
        <f t="shared" si="19"/>
        <v>0</v>
      </c>
      <c r="I151" s="572">
        <f t="shared" si="17"/>
        <v>0</v>
      </c>
      <c r="J151" s="504">
        <f t="shared" si="11"/>
        <v>0</v>
      </c>
      <c r="K151" s="504"/>
      <c r="L151" s="512"/>
      <c r="M151" s="504">
        <f t="shared" si="18"/>
        <v>0</v>
      </c>
      <c r="N151" s="512"/>
      <c r="O151" s="504">
        <f t="shared" si="12"/>
        <v>0</v>
      </c>
      <c r="P151" s="504">
        <f t="shared" si="13"/>
        <v>0</v>
      </c>
      <c r="Q151" s="243"/>
      <c r="R151" s="243"/>
      <c r="S151" s="243"/>
      <c r="T151" s="243"/>
      <c r="U151" s="243"/>
    </row>
    <row r="152" spans="2:21">
      <c r="B152" s="145" t="str">
        <f t="shared" si="10"/>
        <v/>
      </c>
      <c r="C152" s="495">
        <f>IF(D94="","-",+C151+1)</f>
        <v>2069</v>
      </c>
      <c r="D152" s="349">
        <f>IF(F151+SUM(E$100:E151)=D$93,F151,D$93-SUM(E$100:E151))</f>
        <v>0</v>
      </c>
      <c r="E152" s="509">
        <f t="shared" si="20"/>
        <v>0</v>
      </c>
      <c r="F152" s="510">
        <f t="shared" si="15"/>
        <v>0</v>
      </c>
      <c r="G152" s="510">
        <f t="shared" si="16"/>
        <v>0</v>
      </c>
      <c r="H152" s="523">
        <f t="shared" si="19"/>
        <v>0</v>
      </c>
      <c r="I152" s="572">
        <f t="shared" si="17"/>
        <v>0</v>
      </c>
      <c r="J152" s="504">
        <f t="shared" si="11"/>
        <v>0</v>
      </c>
      <c r="K152" s="504"/>
      <c r="L152" s="512"/>
      <c r="M152" s="504">
        <f t="shared" si="18"/>
        <v>0</v>
      </c>
      <c r="N152" s="512"/>
      <c r="O152" s="504">
        <f t="shared" si="12"/>
        <v>0</v>
      </c>
      <c r="P152" s="504">
        <f t="shared" si="13"/>
        <v>0</v>
      </c>
      <c r="Q152" s="243"/>
      <c r="R152" s="243"/>
      <c r="S152" s="243"/>
      <c r="T152" s="243"/>
      <c r="U152" s="243"/>
    </row>
    <row r="153" spans="2:21">
      <c r="B153" s="145" t="str">
        <f t="shared" si="10"/>
        <v/>
      </c>
      <c r="C153" s="495">
        <f>IF(D94="","-",+C152+1)</f>
        <v>2070</v>
      </c>
      <c r="D153" s="349">
        <f>IF(F152+SUM(E$100:E152)=D$93,F152,D$93-SUM(E$100:E152))</f>
        <v>0</v>
      </c>
      <c r="E153" s="509">
        <f t="shared" si="20"/>
        <v>0</v>
      </c>
      <c r="F153" s="510">
        <f t="shared" si="15"/>
        <v>0</v>
      </c>
      <c r="G153" s="510">
        <f t="shared" si="16"/>
        <v>0</v>
      </c>
      <c r="H153" s="523">
        <f t="shared" si="19"/>
        <v>0</v>
      </c>
      <c r="I153" s="572">
        <f t="shared" si="17"/>
        <v>0</v>
      </c>
      <c r="J153" s="504">
        <f t="shared" si="11"/>
        <v>0</v>
      </c>
      <c r="K153" s="504"/>
      <c r="L153" s="512"/>
      <c r="M153" s="504">
        <f t="shared" si="18"/>
        <v>0</v>
      </c>
      <c r="N153" s="512"/>
      <c r="O153" s="504">
        <f t="shared" si="12"/>
        <v>0</v>
      </c>
      <c r="P153" s="504">
        <f t="shared" si="13"/>
        <v>0</v>
      </c>
      <c r="Q153" s="243"/>
      <c r="R153" s="243"/>
      <c r="S153" s="243"/>
      <c r="T153" s="243"/>
      <c r="U153" s="243"/>
    </row>
    <row r="154" spans="2:21">
      <c r="B154" s="145" t="str">
        <f t="shared" si="10"/>
        <v/>
      </c>
      <c r="C154" s="495">
        <f>IF(D94="","-",+C153+1)</f>
        <v>2071</v>
      </c>
      <c r="D154" s="349">
        <f>IF(F153+SUM(E$100:E153)=D$93,F153,D$93-SUM(E$100:E153))</f>
        <v>0</v>
      </c>
      <c r="E154" s="509">
        <f t="shared" si="20"/>
        <v>0</v>
      </c>
      <c r="F154" s="510">
        <f t="shared" si="15"/>
        <v>0</v>
      </c>
      <c r="G154" s="510">
        <f t="shared" si="16"/>
        <v>0</v>
      </c>
      <c r="H154" s="523">
        <f t="shared" si="19"/>
        <v>0</v>
      </c>
      <c r="I154" s="572">
        <f t="shared" si="17"/>
        <v>0</v>
      </c>
      <c r="J154" s="504">
        <f t="shared" si="11"/>
        <v>0</v>
      </c>
      <c r="K154" s="504"/>
      <c r="L154" s="512"/>
      <c r="M154" s="504">
        <f t="shared" si="18"/>
        <v>0</v>
      </c>
      <c r="N154" s="512"/>
      <c r="O154" s="504">
        <f t="shared" si="12"/>
        <v>0</v>
      </c>
      <c r="P154" s="504">
        <f t="shared" si="13"/>
        <v>0</v>
      </c>
      <c r="Q154" s="243"/>
      <c r="R154" s="243"/>
      <c r="S154" s="243"/>
      <c r="T154" s="243"/>
      <c r="U154" s="243"/>
    </row>
    <row r="155" spans="2:21" ht="13.5" thickBot="1">
      <c r="B155" s="145" t="str">
        <f t="shared" si="10"/>
        <v/>
      </c>
      <c r="C155" s="524">
        <f>IF(D94="","-",+C154+1)</f>
        <v>2072</v>
      </c>
      <c r="D155" s="527">
        <f>IF(F154+SUM(E$100:E154)=D$93,F154,D$93-SUM(E$100:E154))</f>
        <v>0</v>
      </c>
      <c r="E155" s="526">
        <f t="shared" si="20"/>
        <v>0</v>
      </c>
      <c r="F155" s="527">
        <f t="shared" si="15"/>
        <v>0</v>
      </c>
      <c r="G155" s="527">
        <f t="shared" si="16"/>
        <v>0</v>
      </c>
      <c r="H155" s="528">
        <f t="shared" si="19"/>
        <v>0</v>
      </c>
      <c r="I155" s="573">
        <f t="shared" si="17"/>
        <v>0</v>
      </c>
      <c r="J155" s="531">
        <f t="shared" si="11"/>
        <v>0</v>
      </c>
      <c r="K155" s="504"/>
      <c r="L155" s="530"/>
      <c r="M155" s="531">
        <f t="shared" si="18"/>
        <v>0</v>
      </c>
      <c r="N155" s="530"/>
      <c r="O155" s="531">
        <f t="shared" si="12"/>
        <v>0</v>
      </c>
      <c r="P155" s="531">
        <f t="shared" si="13"/>
        <v>0</v>
      </c>
      <c r="Q155" s="243"/>
      <c r="R155" s="243"/>
      <c r="S155" s="243"/>
      <c r="T155" s="243"/>
      <c r="U155" s="243"/>
    </row>
    <row r="156" spans="2:21">
      <c r="C156" s="349" t="s">
        <v>75</v>
      </c>
      <c r="D156" s="294"/>
      <c r="E156" s="294">
        <f>SUM(E100:E155)</f>
        <v>11056565.000000002</v>
      </c>
      <c r="F156" s="294"/>
      <c r="G156" s="294"/>
      <c r="H156" s="294">
        <f>SUM(H100:H155)</f>
        <v>25717067.289504047</v>
      </c>
      <c r="I156" s="294">
        <f>SUM(I100:I155)</f>
        <v>25717067.289504047</v>
      </c>
      <c r="J156" s="294">
        <f>SUM(J100:J155)</f>
        <v>0</v>
      </c>
      <c r="K156" s="294"/>
      <c r="L156" s="294"/>
      <c r="M156" s="294"/>
      <c r="N156" s="294"/>
      <c r="O156" s="294"/>
      <c r="P156" s="243"/>
      <c r="Q156" s="243"/>
      <c r="R156" s="243"/>
      <c r="S156" s="243"/>
      <c r="T156" s="243"/>
      <c r="U156" s="243"/>
    </row>
    <row r="157" spans="2:21">
      <c r="D157" s="292"/>
      <c r="E157" s="243"/>
      <c r="F157" s="243"/>
      <c r="G157" s="243"/>
      <c r="H157" s="243"/>
      <c r="I157" s="325"/>
      <c r="J157" s="325"/>
      <c r="K157" s="294"/>
      <c r="L157" s="325"/>
      <c r="M157" s="325"/>
      <c r="N157" s="325"/>
      <c r="O157" s="325"/>
      <c r="P157" s="243"/>
      <c r="Q157" s="243"/>
      <c r="R157" s="243"/>
      <c r="S157" s="243"/>
      <c r="T157" s="243"/>
      <c r="U157" s="243"/>
    </row>
    <row r="158" spans="2:21">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c r="D159" s="292"/>
      <c r="E159" s="243"/>
      <c r="F159" s="243"/>
      <c r="G159" s="243"/>
      <c r="H159" s="243"/>
      <c r="I159" s="325"/>
      <c r="J159" s="325"/>
      <c r="K159" s="294"/>
      <c r="L159" s="325"/>
      <c r="M159" s="325"/>
      <c r="N159" s="325"/>
      <c r="O159" s="325"/>
      <c r="P159" s="243"/>
      <c r="Q159" s="243"/>
      <c r="R159" s="243"/>
      <c r="S159" s="243"/>
      <c r="T159" s="243"/>
      <c r="U159" s="243"/>
    </row>
    <row r="160" spans="2:21">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conditionalFormatting sqref="C17:C31 C34:C40 C44:C73">
    <cfRule type="cellIs" dxfId="31" priority="4" stopIfTrue="1" operator="equal">
      <formula>$I$10</formula>
    </cfRule>
  </conditionalFormatting>
  <conditionalFormatting sqref="C100:C155">
    <cfRule type="cellIs" dxfId="30" priority="5" stopIfTrue="1" operator="equal">
      <formula>$J$93</formula>
    </cfRule>
  </conditionalFormatting>
  <conditionalFormatting sqref="C32">
    <cfRule type="cellIs" dxfId="29" priority="3" stopIfTrue="1" operator="equal">
      <formula>$I$10</formula>
    </cfRule>
  </conditionalFormatting>
  <conditionalFormatting sqref="C33">
    <cfRule type="cellIs" dxfId="28" priority="2" stopIfTrue="1" operator="equal">
      <formula>$I$10</formula>
    </cfRule>
  </conditionalFormatting>
  <conditionalFormatting sqref="C41:C43">
    <cfRule type="cellIs" dxfId="27" priority="1" stopIfTrue="1" operator="equal">
      <formula>$I$10</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P163"/>
  <sheetViews>
    <sheetView zoomScale="85" zoomScaleNormal="85"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16 of 23</v>
      </c>
    </row>
    <row r="2" spans="1:16" ht="18">
      <c r="B2" s="243"/>
      <c r="C2" s="243"/>
      <c r="D2" s="292"/>
      <c r="E2" s="243"/>
      <c r="F2" s="243"/>
      <c r="G2" s="243"/>
      <c r="H2" s="325"/>
      <c r="I2" s="243"/>
      <c r="J2" s="278"/>
      <c r="K2" s="243"/>
      <c r="L2" s="243"/>
      <c r="M2" s="243"/>
      <c r="N2" s="243"/>
      <c r="P2" s="441" t="s">
        <v>131</v>
      </c>
    </row>
    <row r="3" spans="1:16" ht="18.75">
      <c r="B3" s="233" t="s">
        <v>42</v>
      </c>
      <c r="C3" s="305" t="s">
        <v>43</v>
      </c>
      <c r="D3" s="292"/>
      <c r="E3" s="243"/>
      <c r="F3" s="243"/>
      <c r="G3" s="243"/>
      <c r="H3" s="325"/>
      <c r="I3" s="325"/>
      <c r="J3" s="294"/>
      <c r="K3" s="325"/>
      <c r="L3" s="325"/>
      <c r="M3" s="325"/>
      <c r="N3" s="325"/>
      <c r="O3" s="243"/>
      <c r="P3" s="577">
        <v>1</v>
      </c>
    </row>
    <row r="4" spans="1:16" ht="15.75" thickBot="1">
      <c r="C4" s="304"/>
      <c r="D4" s="292"/>
      <c r="E4" s="243"/>
      <c r="F4" s="243"/>
      <c r="G4" s="243"/>
      <c r="H4" s="325"/>
      <c r="I4" s="325"/>
      <c r="J4" s="294"/>
      <c r="K4" s="325"/>
      <c r="L4" s="325"/>
      <c r="M4" s="325"/>
      <c r="N4" s="325"/>
      <c r="O4" s="243"/>
      <c r="P4" s="243"/>
    </row>
    <row r="5" spans="1:16" ht="15">
      <c r="C5" s="443" t="s">
        <v>44</v>
      </c>
      <c r="D5" s="292"/>
      <c r="E5" s="243"/>
      <c r="F5" s="243"/>
      <c r="G5" s="444"/>
      <c r="H5" s="243" t="s">
        <v>45</v>
      </c>
      <c r="I5" s="243"/>
      <c r="J5" s="278"/>
      <c r="K5" s="445" t="s">
        <v>242</v>
      </c>
      <c r="L5" s="446"/>
      <c r="M5" s="447"/>
      <c r="N5" s="448">
        <f>VLOOKUP(I10,C17:I73,5)</f>
        <v>1251677.6661612696</v>
      </c>
      <c r="P5" s="243"/>
    </row>
    <row r="6" spans="1:16" ht="15.75">
      <c r="C6" s="235"/>
      <c r="D6" s="292"/>
      <c r="E6" s="243"/>
      <c r="F6" s="243"/>
      <c r="G6" s="243"/>
      <c r="H6" s="449"/>
      <c r="I6" s="449"/>
      <c r="J6" s="450"/>
      <c r="K6" s="451" t="s">
        <v>243</v>
      </c>
      <c r="L6" s="452"/>
      <c r="M6" s="278"/>
      <c r="N6" s="453">
        <f>VLOOKUP(I10,C17:I73,6)</f>
        <v>1251677.6661612696</v>
      </c>
      <c r="O6" s="243"/>
      <c r="P6" s="243"/>
    </row>
    <row r="7" spans="1:16" ht="13.5" thickBot="1">
      <c r="C7" s="454" t="s">
        <v>46</v>
      </c>
      <c r="D7" s="637" t="s">
        <v>246</v>
      </c>
      <c r="E7" s="243"/>
      <c r="F7" s="243"/>
      <c r="G7" s="243"/>
      <c r="H7" s="325"/>
      <c r="I7" s="325"/>
      <c r="J7" s="294"/>
      <c r="K7" s="456" t="s">
        <v>47</v>
      </c>
      <c r="L7" s="457"/>
      <c r="M7" s="457"/>
      <c r="N7" s="458">
        <f>+N6-N5</f>
        <v>0</v>
      </c>
      <c r="O7" s="243"/>
      <c r="P7" s="243"/>
    </row>
    <row r="8" spans="1:16" ht="13.5" thickBot="1">
      <c r="C8" s="459"/>
      <c r="D8" s="460" t="str">
        <f>IF(D10&lt;100000,"DOES NOT MEET SPP $100,000 MINIMUM INVESTMENT FOR REGIONAL BPU SHARING.","")</f>
        <v/>
      </c>
      <c r="E8" s="461"/>
      <c r="F8" s="461"/>
      <c r="G8" s="461"/>
      <c r="H8" s="461"/>
      <c r="I8" s="461"/>
      <c r="J8" s="462"/>
      <c r="K8" s="461"/>
      <c r="L8" s="461"/>
      <c r="M8" s="461"/>
      <c r="N8" s="461"/>
      <c r="O8" s="462"/>
      <c r="P8" s="248"/>
    </row>
    <row r="9" spans="1:16" ht="13.5" thickBot="1">
      <c r="C9" s="463" t="s">
        <v>48</v>
      </c>
      <c r="D9" s="464" t="s">
        <v>261</v>
      </c>
      <c r="E9" s="647" t="s">
        <v>297</v>
      </c>
      <c r="F9" s="465"/>
      <c r="G9" s="465"/>
      <c r="H9" s="465"/>
      <c r="I9" s="466"/>
      <c r="J9" s="467"/>
      <c r="O9" s="468"/>
      <c r="P9" s="278"/>
    </row>
    <row r="10" spans="1:16">
      <c r="C10" s="469" t="s">
        <v>49</v>
      </c>
      <c r="D10" s="470">
        <v>9653726</v>
      </c>
      <c r="E10" s="299" t="s">
        <v>50</v>
      </c>
      <c r="F10" s="468"/>
      <c r="G10" s="408"/>
      <c r="H10" s="408"/>
      <c r="I10" s="471">
        <f>+OKT.WS.F.BPU.ATRR.Projected!R101</f>
        <v>2022</v>
      </c>
      <c r="J10" s="467"/>
      <c r="K10" s="294" t="s">
        <v>51</v>
      </c>
      <c r="O10" s="278"/>
      <c r="P10" s="278"/>
    </row>
    <row r="11" spans="1:16">
      <c r="C11" s="472" t="s">
        <v>52</v>
      </c>
      <c r="D11" s="473">
        <v>2017</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row>
    <row r="12" spans="1:16">
      <c r="C12" s="472" t="s">
        <v>54</v>
      </c>
      <c r="D12" s="470">
        <v>7</v>
      </c>
      <c r="E12" s="472" t="s">
        <v>55</v>
      </c>
      <c r="F12" s="408"/>
      <c r="G12" s="220"/>
      <c r="H12" s="220"/>
      <c r="I12" s="476">
        <f>OKT.WS.F.BPU.ATRR.Projected!$F$79</f>
        <v>0.11475877389767174</v>
      </c>
      <c r="J12" s="413"/>
      <c r="K12" s="145" t="s">
        <v>56</v>
      </c>
      <c r="O12" s="278"/>
      <c r="P12" s="278"/>
    </row>
    <row r="13" spans="1:16">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row>
    <row r="14" spans="1:16" ht="13.5" thickBot="1">
      <c r="C14" s="472" t="s">
        <v>60</v>
      </c>
      <c r="D14" s="473" t="s">
        <v>61</v>
      </c>
      <c r="E14" s="278" t="s">
        <v>62</v>
      </c>
      <c r="F14" s="408"/>
      <c r="G14" s="220"/>
      <c r="H14" s="220"/>
      <c r="I14" s="477">
        <f>IF(D10=0,0,D10/D13)</f>
        <v>292537.15151515149</v>
      </c>
      <c r="J14" s="294"/>
      <c r="K14" s="294"/>
      <c r="L14" s="294"/>
      <c r="M14" s="294"/>
      <c r="N14" s="294"/>
      <c r="O14" s="278"/>
      <c r="P14" s="278"/>
    </row>
    <row r="15" spans="1:16"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row>
    <row r="16" spans="1:16"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row>
    <row r="17" spans="2:16">
      <c r="B17" s="145" t="str">
        <f t="shared" ref="B17:B71" si="0">IF(D17=F16,"","IU")</f>
        <v>IU</v>
      </c>
      <c r="C17" s="495">
        <f>IF(D11= "","-",D11)</f>
        <v>2017</v>
      </c>
      <c r="D17" s="612">
        <v>0</v>
      </c>
      <c r="E17" s="620">
        <v>72904.982539658653</v>
      </c>
      <c r="F17" s="612">
        <v>8826095.0174603406</v>
      </c>
      <c r="G17" s="620">
        <v>558075.303653282</v>
      </c>
      <c r="H17" s="617">
        <v>558075.303653282</v>
      </c>
      <c r="I17" s="500">
        <f>H17-G17</f>
        <v>0</v>
      </c>
      <c r="J17" s="500"/>
      <c r="K17" s="501">
        <f>+G17</f>
        <v>558075.303653282</v>
      </c>
      <c r="L17" s="503">
        <f t="shared" ref="L17:L71" si="1">IF(K17&lt;&gt;0,+G17-K17,0)</f>
        <v>0</v>
      </c>
      <c r="M17" s="501">
        <f>+H17</f>
        <v>558075.303653282</v>
      </c>
      <c r="N17" s="503">
        <f t="shared" ref="N17:N71" si="2">IF(M17&lt;&gt;0,+H17-M17,0)</f>
        <v>0</v>
      </c>
      <c r="O17" s="504">
        <f t="shared" ref="O17:O71" si="3">+N17-L17</f>
        <v>0</v>
      </c>
      <c r="P17" s="278"/>
    </row>
    <row r="18" spans="2:16">
      <c r="B18" s="145" t="str">
        <f t="shared" si="0"/>
        <v/>
      </c>
      <c r="C18" s="495">
        <f>IF(D11="","-",+C17+1)</f>
        <v>2018</v>
      </c>
      <c r="D18" s="614">
        <v>8826095.0174603406</v>
      </c>
      <c r="E18" s="613">
        <v>218244.25465113699</v>
      </c>
      <c r="F18" s="614">
        <v>8607850.7628092039</v>
      </c>
      <c r="G18" s="613">
        <v>1104094.8534187796</v>
      </c>
      <c r="H18" s="617">
        <v>1104094.8534187796</v>
      </c>
      <c r="I18" s="500">
        <f t="shared" ref="I18:I71" si="4">H18-G18</f>
        <v>0</v>
      </c>
      <c r="J18" s="500"/>
      <c r="K18" s="592">
        <f>+G18</f>
        <v>1104094.8534187796</v>
      </c>
      <c r="L18" s="596">
        <f t="shared" si="1"/>
        <v>0</v>
      </c>
      <c r="M18" s="592">
        <f>+H18</f>
        <v>1104094.8534187796</v>
      </c>
      <c r="N18" s="504">
        <f t="shared" si="2"/>
        <v>0</v>
      </c>
      <c r="O18" s="504">
        <f t="shared" si="3"/>
        <v>0</v>
      </c>
      <c r="P18" s="278"/>
    </row>
    <row r="19" spans="2:16">
      <c r="B19" s="145" t="str">
        <f t="shared" si="0"/>
        <v/>
      </c>
      <c r="C19" s="495">
        <f>IF(D11="","-",+C18+1)</f>
        <v>2019</v>
      </c>
      <c r="D19" s="614">
        <v>8607850.7628092039</v>
      </c>
      <c r="E19" s="613">
        <v>263934.0787603631</v>
      </c>
      <c r="F19" s="614">
        <v>8343916.6840488408</v>
      </c>
      <c r="G19" s="613">
        <v>1144883.2286713799</v>
      </c>
      <c r="H19" s="617">
        <v>1144883.2286713799</v>
      </c>
      <c r="I19" s="500">
        <f t="shared" si="4"/>
        <v>0</v>
      </c>
      <c r="J19" s="500"/>
      <c r="K19" s="592">
        <f>+G19</f>
        <v>1144883.2286713799</v>
      </c>
      <c r="L19" s="596">
        <f t="shared" ref="L19" si="5">IF(K19&lt;&gt;0,+G19-K19,0)</f>
        <v>0</v>
      </c>
      <c r="M19" s="592">
        <f>+H19</f>
        <v>1144883.2286713799</v>
      </c>
      <c r="N19" s="504">
        <f t="shared" ref="N19" si="6">IF(M19&lt;&gt;0,+H19-M19,0)</f>
        <v>0</v>
      </c>
      <c r="O19" s="504">
        <f t="shared" ref="O19" si="7">+N19-L19</f>
        <v>0</v>
      </c>
      <c r="P19" s="278"/>
    </row>
    <row r="20" spans="2:16">
      <c r="B20" s="145" t="str">
        <f t="shared" si="0"/>
        <v>IU</v>
      </c>
      <c r="C20" s="495">
        <f>IF(D11="","-",+C19+1)</f>
        <v>2020</v>
      </c>
      <c r="D20" s="614">
        <v>9147876.5081580672</v>
      </c>
      <c r="E20" s="613">
        <v>282782.06007850129</v>
      </c>
      <c r="F20" s="614">
        <v>8865094.4480795655</v>
      </c>
      <c r="G20" s="613">
        <v>1227854.794149773</v>
      </c>
      <c r="H20" s="617">
        <v>1227854.794149773</v>
      </c>
      <c r="I20" s="500">
        <f t="shared" si="4"/>
        <v>0</v>
      </c>
      <c r="J20" s="500"/>
      <c r="K20" s="592">
        <f>+G20</f>
        <v>1227854.794149773</v>
      </c>
      <c r="L20" s="596">
        <f t="shared" ref="L20" si="8">IF(K20&lt;&gt;0,+G20-K20,0)</f>
        <v>0</v>
      </c>
      <c r="M20" s="592">
        <f>+H20</f>
        <v>1227854.794149773</v>
      </c>
      <c r="N20" s="504">
        <f t="shared" si="2"/>
        <v>0</v>
      </c>
      <c r="O20" s="504">
        <f t="shared" si="3"/>
        <v>0</v>
      </c>
      <c r="P20" s="278"/>
    </row>
    <row r="21" spans="2:16">
      <c r="B21" s="145" t="str">
        <f t="shared" si="0"/>
        <v>IU</v>
      </c>
      <c r="C21" s="495">
        <f>IF(D11="","-",+C20+1)</f>
        <v>2021</v>
      </c>
      <c r="D21" s="614">
        <v>8825085.6239703409</v>
      </c>
      <c r="E21" s="613">
        <v>311708.09677419357</v>
      </c>
      <c r="F21" s="614">
        <v>8513377.5271961465</v>
      </c>
      <c r="G21" s="613">
        <v>1249589.4972268606</v>
      </c>
      <c r="H21" s="617">
        <v>1249589.4972268606</v>
      </c>
      <c r="I21" s="500">
        <f t="shared" si="4"/>
        <v>0</v>
      </c>
      <c r="J21" s="500"/>
      <c r="K21" s="592">
        <f>+G21</f>
        <v>1249589.4972268606</v>
      </c>
      <c r="L21" s="596">
        <f t="shared" ref="L21" si="9">IF(K21&lt;&gt;0,+G21-K21,0)</f>
        <v>0</v>
      </c>
      <c r="M21" s="592">
        <f>+H21</f>
        <v>1249589.4972268606</v>
      </c>
      <c r="N21" s="504">
        <f t="shared" si="2"/>
        <v>0</v>
      </c>
      <c r="O21" s="504">
        <f t="shared" si="3"/>
        <v>0</v>
      </c>
      <c r="P21" s="278"/>
    </row>
    <row r="22" spans="2:16">
      <c r="B22" s="145" t="str">
        <f t="shared" si="0"/>
        <v>IU</v>
      </c>
      <c r="C22" s="495">
        <f>IF(D11="","-",+C21+1)</f>
        <v>2022</v>
      </c>
      <c r="D22" s="508">
        <f>IF(F21+SUM(E$17:E21)=D$10,F21,D$10-SUM(E$17:E21))</f>
        <v>8504152.5271961465</v>
      </c>
      <c r="E22" s="509">
        <f t="shared" ref="E22:E49" si="10">IF(+I$14&lt;F21,I$14,D22)</f>
        <v>292537.15151515149</v>
      </c>
      <c r="F22" s="510">
        <f t="shared" ref="F22:F71" si="11">+D22-E22</f>
        <v>8211615.3756809952</v>
      </c>
      <c r="G22" s="511">
        <f t="shared" ref="G22:G48" si="12">(D22+F22)/2*I$12+E22</f>
        <v>1251677.6661612696</v>
      </c>
      <c r="H22" s="477">
        <f t="shared" ref="H22:H48" si="13">+(D22+F22)/2*I$13+E22</f>
        <v>1251677.6661612696</v>
      </c>
      <c r="I22" s="500">
        <f t="shared" si="4"/>
        <v>0</v>
      </c>
      <c r="J22" s="500"/>
      <c r="K22" s="512"/>
      <c r="L22" s="504">
        <f t="shared" si="1"/>
        <v>0</v>
      </c>
      <c r="M22" s="512"/>
      <c r="N22" s="504">
        <f t="shared" si="2"/>
        <v>0</v>
      </c>
      <c r="O22" s="504">
        <f t="shared" si="3"/>
        <v>0</v>
      </c>
      <c r="P22" s="278"/>
    </row>
    <row r="23" spans="2:16">
      <c r="B23" s="145" t="str">
        <f t="shared" si="0"/>
        <v/>
      </c>
      <c r="C23" s="495">
        <f>IF(D11="","-",+C22+1)</f>
        <v>2023</v>
      </c>
      <c r="D23" s="508">
        <f>IF(F22+SUM(E$17:E22)=D$10,F22,D$10-SUM(E$17:E22))</f>
        <v>8211615.3756809952</v>
      </c>
      <c r="E23" s="509">
        <f t="shared" si="10"/>
        <v>292537.15151515149</v>
      </c>
      <c r="F23" s="510">
        <f t="shared" si="11"/>
        <v>7919078.2241658438</v>
      </c>
      <c r="G23" s="511">
        <f t="shared" si="12"/>
        <v>1218106.4613338737</v>
      </c>
      <c r="H23" s="477">
        <f t="shared" si="13"/>
        <v>1218106.4613338737</v>
      </c>
      <c r="I23" s="500">
        <f t="shared" si="4"/>
        <v>0</v>
      </c>
      <c r="J23" s="500"/>
      <c r="K23" s="512"/>
      <c r="L23" s="504">
        <f t="shared" si="1"/>
        <v>0</v>
      </c>
      <c r="M23" s="512"/>
      <c r="N23" s="504">
        <f t="shared" si="2"/>
        <v>0</v>
      </c>
      <c r="O23" s="504">
        <f t="shared" si="3"/>
        <v>0</v>
      </c>
      <c r="P23" s="278"/>
    </row>
    <row r="24" spans="2:16">
      <c r="B24" s="145" t="str">
        <f t="shared" si="0"/>
        <v/>
      </c>
      <c r="C24" s="495">
        <f>IF(D11="","-",+C23+1)</f>
        <v>2024</v>
      </c>
      <c r="D24" s="508">
        <f>IF(F23+SUM(E$17:E23)=D$10,F23,D$10-SUM(E$17:E23))</f>
        <v>7919078.2241658438</v>
      </c>
      <c r="E24" s="509">
        <f t="shared" si="10"/>
        <v>292537.15151515149</v>
      </c>
      <c r="F24" s="510">
        <f t="shared" si="11"/>
        <v>7626541.0726506924</v>
      </c>
      <c r="G24" s="511">
        <f t="shared" si="12"/>
        <v>1184535.2565064772</v>
      </c>
      <c r="H24" s="477">
        <f t="shared" si="13"/>
        <v>1184535.2565064772</v>
      </c>
      <c r="I24" s="500">
        <f t="shared" si="4"/>
        <v>0</v>
      </c>
      <c r="J24" s="500"/>
      <c r="K24" s="512"/>
      <c r="L24" s="504">
        <f t="shared" si="1"/>
        <v>0</v>
      </c>
      <c r="M24" s="512"/>
      <c r="N24" s="504">
        <f t="shared" si="2"/>
        <v>0</v>
      </c>
      <c r="O24" s="504">
        <f t="shared" si="3"/>
        <v>0</v>
      </c>
      <c r="P24" s="278"/>
    </row>
    <row r="25" spans="2:16">
      <c r="B25" s="145" t="str">
        <f t="shared" si="0"/>
        <v/>
      </c>
      <c r="C25" s="495">
        <f>IF(D11="","-",+C24+1)</f>
        <v>2025</v>
      </c>
      <c r="D25" s="508">
        <f>IF(F24+SUM(E$17:E24)=D$10,F24,D$10-SUM(E$17:E24))</f>
        <v>7626541.0726506924</v>
      </c>
      <c r="E25" s="509">
        <f t="shared" si="10"/>
        <v>292537.15151515149</v>
      </c>
      <c r="F25" s="510">
        <f t="shared" si="11"/>
        <v>7334003.9211355411</v>
      </c>
      <c r="G25" s="511">
        <f t="shared" si="12"/>
        <v>1150964.0516790813</v>
      </c>
      <c r="H25" s="477">
        <f t="shared" si="13"/>
        <v>1150964.0516790813</v>
      </c>
      <c r="I25" s="500">
        <f t="shared" si="4"/>
        <v>0</v>
      </c>
      <c r="J25" s="500"/>
      <c r="K25" s="512"/>
      <c r="L25" s="504">
        <f t="shared" si="1"/>
        <v>0</v>
      </c>
      <c r="M25" s="512"/>
      <c r="N25" s="504">
        <f t="shared" si="2"/>
        <v>0</v>
      </c>
      <c r="O25" s="504">
        <f t="shared" si="3"/>
        <v>0</v>
      </c>
      <c r="P25" s="278"/>
    </row>
    <row r="26" spans="2:16">
      <c r="B26" s="145" t="str">
        <f t="shared" si="0"/>
        <v/>
      </c>
      <c r="C26" s="495">
        <f>IF(D11="","-",+C25+1)</f>
        <v>2026</v>
      </c>
      <c r="D26" s="508">
        <f>IF(F25+SUM(E$17:E25)=D$10,F25,D$10-SUM(E$17:E25))</f>
        <v>7334003.9211355411</v>
      </c>
      <c r="E26" s="509">
        <f t="shared" si="10"/>
        <v>292537.15151515149</v>
      </c>
      <c r="F26" s="510">
        <f t="shared" si="11"/>
        <v>7041466.7696203897</v>
      </c>
      <c r="G26" s="511">
        <f t="shared" si="12"/>
        <v>1117392.8468516849</v>
      </c>
      <c r="H26" s="477">
        <f t="shared" si="13"/>
        <v>1117392.8468516849</v>
      </c>
      <c r="I26" s="500">
        <f t="shared" si="4"/>
        <v>0</v>
      </c>
      <c r="J26" s="500"/>
      <c r="K26" s="512"/>
      <c r="L26" s="504">
        <f t="shared" si="1"/>
        <v>0</v>
      </c>
      <c r="M26" s="512"/>
      <c r="N26" s="504">
        <f t="shared" si="2"/>
        <v>0</v>
      </c>
      <c r="O26" s="504">
        <f t="shared" si="3"/>
        <v>0</v>
      </c>
      <c r="P26" s="278"/>
    </row>
    <row r="27" spans="2:16">
      <c r="B27" s="145" t="str">
        <f t="shared" si="0"/>
        <v/>
      </c>
      <c r="C27" s="495">
        <f>IF(D11="","-",+C26+1)</f>
        <v>2027</v>
      </c>
      <c r="D27" s="508">
        <f>IF(F26+SUM(E$17:E26)=D$10,F26,D$10-SUM(E$17:E26))</f>
        <v>7041466.7696203897</v>
      </c>
      <c r="E27" s="509">
        <f t="shared" si="10"/>
        <v>292537.15151515149</v>
      </c>
      <c r="F27" s="510">
        <f t="shared" si="11"/>
        <v>6748929.6181052383</v>
      </c>
      <c r="G27" s="511">
        <f t="shared" si="12"/>
        <v>1083821.6420242889</v>
      </c>
      <c r="H27" s="477">
        <f t="shared" si="13"/>
        <v>1083821.6420242889</v>
      </c>
      <c r="I27" s="500">
        <f t="shared" si="4"/>
        <v>0</v>
      </c>
      <c r="J27" s="500"/>
      <c r="K27" s="512"/>
      <c r="L27" s="504">
        <f t="shared" si="1"/>
        <v>0</v>
      </c>
      <c r="M27" s="512"/>
      <c r="N27" s="504">
        <f t="shared" si="2"/>
        <v>0</v>
      </c>
      <c r="O27" s="504">
        <f t="shared" si="3"/>
        <v>0</v>
      </c>
      <c r="P27" s="278"/>
    </row>
    <row r="28" spans="2:16">
      <c r="B28" s="145" t="str">
        <f t="shared" si="0"/>
        <v/>
      </c>
      <c r="C28" s="495">
        <f>IF(D11="","-",+C27+1)</f>
        <v>2028</v>
      </c>
      <c r="D28" s="508">
        <f>IF(F27+SUM(E$17:E27)=D$10,F27,D$10-SUM(E$17:E27))</f>
        <v>6748929.6181052383</v>
      </c>
      <c r="E28" s="509">
        <f t="shared" si="10"/>
        <v>292537.15151515149</v>
      </c>
      <c r="F28" s="510">
        <f t="shared" si="11"/>
        <v>6456392.4665900869</v>
      </c>
      <c r="G28" s="511">
        <f t="shared" si="12"/>
        <v>1050250.4371968925</v>
      </c>
      <c r="H28" s="477">
        <f t="shared" si="13"/>
        <v>1050250.4371968925</v>
      </c>
      <c r="I28" s="500">
        <f t="shared" si="4"/>
        <v>0</v>
      </c>
      <c r="J28" s="500"/>
      <c r="K28" s="512"/>
      <c r="L28" s="504">
        <f t="shared" si="1"/>
        <v>0</v>
      </c>
      <c r="M28" s="512"/>
      <c r="N28" s="504">
        <f t="shared" si="2"/>
        <v>0</v>
      </c>
      <c r="O28" s="504">
        <f t="shared" si="3"/>
        <v>0</v>
      </c>
      <c r="P28" s="278"/>
    </row>
    <row r="29" spans="2:16">
      <c r="B29" s="145" t="str">
        <f t="shared" si="0"/>
        <v/>
      </c>
      <c r="C29" s="495">
        <f>IF(D11="","-",+C28+1)</f>
        <v>2029</v>
      </c>
      <c r="D29" s="508">
        <f>IF(F28+SUM(E$17:E28)=D$10,F28,D$10-SUM(E$17:E28))</f>
        <v>6456392.4665900869</v>
      </c>
      <c r="E29" s="509">
        <f t="shared" si="10"/>
        <v>292537.15151515149</v>
      </c>
      <c r="F29" s="510">
        <f t="shared" si="11"/>
        <v>6163855.3150749356</v>
      </c>
      <c r="G29" s="511">
        <f t="shared" si="12"/>
        <v>1016679.2323694964</v>
      </c>
      <c r="H29" s="477">
        <f t="shared" si="13"/>
        <v>1016679.2323694964</v>
      </c>
      <c r="I29" s="500">
        <f t="shared" si="4"/>
        <v>0</v>
      </c>
      <c r="J29" s="500"/>
      <c r="K29" s="512"/>
      <c r="L29" s="504">
        <f t="shared" si="1"/>
        <v>0</v>
      </c>
      <c r="M29" s="512"/>
      <c r="N29" s="504">
        <f t="shared" si="2"/>
        <v>0</v>
      </c>
      <c r="O29" s="504">
        <f t="shared" si="3"/>
        <v>0</v>
      </c>
      <c r="P29" s="278"/>
    </row>
    <row r="30" spans="2:16">
      <c r="B30" s="145" t="str">
        <f t="shared" si="0"/>
        <v/>
      </c>
      <c r="C30" s="495">
        <f>IF(D11="","-",+C29+1)</f>
        <v>2030</v>
      </c>
      <c r="D30" s="508">
        <f>IF(F29+SUM(E$17:E29)=D$10,F29,D$10-SUM(E$17:E29))</f>
        <v>6163855.3150749356</v>
      </c>
      <c r="E30" s="509">
        <f t="shared" si="10"/>
        <v>292537.15151515149</v>
      </c>
      <c r="F30" s="510">
        <f t="shared" si="11"/>
        <v>5871318.1635597842</v>
      </c>
      <c r="G30" s="511">
        <f t="shared" si="12"/>
        <v>983108.02754210006</v>
      </c>
      <c r="H30" s="477">
        <f t="shared" si="13"/>
        <v>983108.02754210006</v>
      </c>
      <c r="I30" s="500">
        <f t="shared" si="4"/>
        <v>0</v>
      </c>
      <c r="J30" s="500"/>
      <c r="K30" s="512"/>
      <c r="L30" s="504">
        <f t="shared" si="1"/>
        <v>0</v>
      </c>
      <c r="M30" s="512"/>
      <c r="N30" s="504">
        <f t="shared" si="2"/>
        <v>0</v>
      </c>
      <c r="O30" s="504">
        <f t="shared" si="3"/>
        <v>0</v>
      </c>
      <c r="P30" s="278"/>
    </row>
    <row r="31" spans="2:16">
      <c r="B31" s="145" t="str">
        <f t="shared" si="0"/>
        <v/>
      </c>
      <c r="C31" s="495">
        <f>IF(D11="","-",+C30+1)</f>
        <v>2031</v>
      </c>
      <c r="D31" s="508">
        <f>IF(F30+SUM(E$17:E30)=D$10,F30,D$10-SUM(E$17:E30))</f>
        <v>5871318.1635597842</v>
      </c>
      <c r="E31" s="509">
        <f t="shared" si="10"/>
        <v>292537.15151515149</v>
      </c>
      <c r="F31" s="510">
        <f t="shared" si="11"/>
        <v>5578781.0120446328</v>
      </c>
      <c r="G31" s="511">
        <f t="shared" si="12"/>
        <v>949536.82271470397</v>
      </c>
      <c r="H31" s="477">
        <f t="shared" si="13"/>
        <v>949536.82271470397</v>
      </c>
      <c r="I31" s="500">
        <f t="shared" si="4"/>
        <v>0</v>
      </c>
      <c r="J31" s="500"/>
      <c r="K31" s="512"/>
      <c r="L31" s="504">
        <f t="shared" si="1"/>
        <v>0</v>
      </c>
      <c r="M31" s="512"/>
      <c r="N31" s="504">
        <f t="shared" si="2"/>
        <v>0</v>
      </c>
      <c r="O31" s="504">
        <f t="shared" si="3"/>
        <v>0</v>
      </c>
      <c r="P31" s="278"/>
    </row>
    <row r="32" spans="2:16">
      <c r="B32" s="145" t="str">
        <f t="shared" si="0"/>
        <v/>
      </c>
      <c r="C32" s="495">
        <f>IF(D11="","-",+C31+1)</f>
        <v>2032</v>
      </c>
      <c r="D32" s="508">
        <f>IF(F31+SUM(E$17:E31)=D$10,F31,D$10-SUM(E$17:E31))</f>
        <v>5578781.0120446328</v>
      </c>
      <c r="E32" s="509">
        <f t="shared" si="10"/>
        <v>292537.15151515149</v>
      </c>
      <c r="F32" s="510">
        <f t="shared" si="11"/>
        <v>5286243.8605294814</v>
      </c>
      <c r="G32" s="511">
        <f t="shared" si="12"/>
        <v>915965.61788730766</v>
      </c>
      <c r="H32" s="477">
        <f t="shared" si="13"/>
        <v>915965.61788730766</v>
      </c>
      <c r="I32" s="500">
        <f t="shared" si="4"/>
        <v>0</v>
      </c>
      <c r="J32" s="500"/>
      <c r="K32" s="512"/>
      <c r="L32" s="504">
        <f t="shared" si="1"/>
        <v>0</v>
      </c>
      <c r="M32" s="512"/>
      <c r="N32" s="504">
        <f t="shared" si="2"/>
        <v>0</v>
      </c>
      <c r="O32" s="504">
        <f t="shared" si="3"/>
        <v>0</v>
      </c>
      <c r="P32" s="278"/>
    </row>
    <row r="33" spans="2:16">
      <c r="B33" s="145" t="str">
        <f t="shared" si="0"/>
        <v/>
      </c>
      <c r="C33" s="495">
        <f>IF(D11="","-",+C32+1)</f>
        <v>2033</v>
      </c>
      <c r="D33" s="508">
        <f>IF(F32+SUM(E$17:E32)=D$10,F32,D$10-SUM(E$17:E32))</f>
        <v>5286243.8605294814</v>
      </c>
      <c r="E33" s="509">
        <f t="shared" si="10"/>
        <v>292537.15151515149</v>
      </c>
      <c r="F33" s="510">
        <f t="shared" si="11"/>
        <v>4993706.7090143301</v>
      </c>
      <c r="G33" s="511">
        <f t="shared" si="12"/>
        <v>882394.41305991157</v>
      </c>
      <c r="H33" s="477">
        <f t="shared" si="13"/>
        <v>882394.41305991157</v>
      </c>
      <c r="I33" s="500">
        <f t="shared" si="4"/>
        <v>0</v>
      </c>
      <c r="J33" s="500"/>
      <c r="K33" s="512"/>
      <c r="L33" s="504">
        <f t="shared" si="1"/>
        <v>0</v>
      </c>
      <c r="M33" s="512"/>
      <c r="N33" s="504">
        <f t="shared" si="2"/>
        <v>0</v>
      </c>
      <c r="O33" s="504">
        <f t="shared" si="3"/>
        <v>0</v>
      </c>
      <c r="P33" s="278"/>
    </row>
    <row r="34" spans="2:16">
      <c r="B34" s="145" t="str">
        <f t="shared" si="0"/>
        <v/>
      </c>
      <c r="C34" s="495">
        <f>IF(D11="","-",+C33+1)</f>
        <v>2034</v>
      </c>
      <c r="D34" s="508">
        <f>IF(F33+SUM(E$17:E33)=D$10,F33,D$10-SUM(E$17:E33))</f>
        <v>4993706.7090143301</v>
      </c>
      <c r="E34" s="509">
        <f t="shared" si="10"/>
        <v>292537.15151515149</v>
      </c>
      <c r="F34" s="510">
        <f t="shared" si="11"/>
        <v>4701169.5574991787</v>
      </c>
      <c r="G34" s="511">
        <f t="shared" si="12"/>
        <v>848823.20823251526</v>
      </c>
      <c r="H34" s="477">
        <f t="shared" si="13"/>
        <v>848823.20823251526</v>
      </c>
      <c r="I34" s="500">
        <f t="shared" si="4"/>
        <v>0</v>
      </c>
      <c r="J34" s="500"/>
      <c r="K34" s="512"/>
      <c r="L34" s="504">
        <f t="shared" si="1"/>
        <v>0</v>
      </c>
      <c r="M34" s="512"/>
      <c r="N34" s="504">
        <f t="shared" si="2"/>
        <v>0</v>
      </c>
      <c r="O34" s="504">
        <f t="shared" si="3"/>
        <v>0</v>
      </c>
      <c r="P34" s="278"/>
    </row>
    <row r="35" spans="2:16">
      <c r="B35" s="145" t="str">
        <f t="shared" si="0"/>
        <v/>
      </c>
      <c r="C35" s="495">
        <f>IF(D11="","-",+C34+1)</f>
        <v>2035</v>
      </c>
      <c r="D35" s="508">
        <f>IF(F34+SUM(E$17:E34)=D$10,F34,D$10-SUM(E$17:E34))</f>
        <v>4701169.5574991787</v>
      </c>
      <c r="E35" s="509">
        <f t="shared" si="10"/>
        <v>292537.15151515149</v>
      </c>
      <c r="F35" s="510">
        <f t="shared" si="11"/>
        <v>4408632.4059840273</v>
      </c>
      <c r="G35" s="511">
        <f t="shared" si="12"/>
        <v>815252.00340511918</v>
      </c>
      <c r="H35" s="477">
        <f t="shared" si="13"/>
        <v>815252.00340511918</v>
      </c>
      <c r="I35" s="500">
        <f t="shared" si="4"/>
        <v>0</v>
      </c>
      <c r="J35" s="500"/>
      <c r="K35" s="512"/>
      <c r="L35" s="504">
        <f t="shared" si="1"/>
        <v>0</v>
      </c>
      <c r="M35" s="512"/>
      <c r="N35" s="504">
        <f t="shared" si="2"/>
        <v>0</v>
      </c>
      <c r="O35" s="504">
        <f t="shared" si="3"/>
        <v>0</v>
      </c>
      <c r="P35" s="278"/>
    </row>
    <row r="36" spans="2:16">
      <c r="B36" s="145" t="str">
        <f t="shared" si="0"/>
        <v/>
      </c>
      <c r="C36" s="495">
        <f>IF(D11="","-",+C35+1)</f>
        <v>2036</v>
      </c>
      <c r="D36" s="508">
        <f>IF(F35+SUM(E$17:E35)=D$10,F35,D$10-SUM(E$17:E35))</f>
        <v>4408632.4059840273</v>
      </c>
      <c r="E36" s="509">
        <f t="shared" si="10"/>
        <v>292537.15151515149</v>
      </c>
      <c r="F36" s="510">
        <f t="shared" si="11"/>
        <v>4116095.2544688759</v>
      </c>
      <c r="G36" s="511">
        <f t="shared" si="12"/>
        <v>781680.79857772286</v>
      </c>
      <c r="H36" s="477">
        <f t="shared" si="13"/>
        <v>781680.79857772286</v>
      </c>
      <c r="I36" s="500">
        <f t="shared" si="4"/>
        <v>0</v>
      </c>
      <c r="J36" s="500"/>
      <c r="K36" s="512"/>
      <c r="L36" s="504">
        <f t="shared" si="1"/>
        <v>0</v>
      </c>
      <c r="M36" s="512"/>
      <c r="N36" s="504">
        <f t="shared" si="2"/>
        <v>0</v>
      </c>
      <c r="O36" s="504">
        <f t="shared" si="3"/>
        <v>0</v>
      </c>
      <c r="P36" s="278"/>
    </row>
    <row r="37" spans="2:16">
      <c r="B37" s="145" t="str">
        <f t="shared" si="0"/>
        <v/>
      </c>
      <c r="C37" s="495">
        <f>IF(D11="","-",+C36+1)</f>
        <v>2037</v>
      </c>
      <c r="D37" s="508">
        <f>IF(F36+SUM(E$17:E36)=D$10,F36,D$10-SUM(E$17:E36))</f>
        <v>4116095.2544688759</v>
      </c>
      <c r="E37" s="509">
        <f t="shared" si="10"/>
        <v>292537.15151515149</v>
      </c>
      <c r="F37" s="510">
        <f t="shared" si="11"/>
        <v>3823558.1029537246</v>
      </c>
      <c r="G37" s="511">
        <f t="shared" si="12"/>
        <v>748109.59375032666</v>
      </c>
      <c r="H37" s="477">
        <f t="shared" si="13"/>
        <v>748109.59375032666</v>
      </c>
      <c r="I37" s="500">
        <f t="shared" si="4"/>
        <v>0</v>
      </c>
      <c r="J37" s="500"/>
      <c r="K37" s="512"/>
      <c r="L37" s="504">
        <f t="shared" si="1"/>
        <v>0</v>
      </c>
      <c r="M37" s="512"/>
      <c r="N37" s="504">
        <f t="shared" si="2"/>
        <v>0</v>
      </c>
      <c r="O37" s="504">
        <f t="shared" si="3"/>
        <v>0</v>
      </c>
      <c r="P37" s="278"/>
    </row>
    <row r="38" spans="2:16">
      <c r="B38" s="145" t="str">
        <f t="shared" si="0"/>
        <v/>
      </c>
      <c r="C38" s="495">
        <f>IF(D11="","-",+C37+1)</f>
        <v>2038</v>
      </c>
      <c r="D38" s="508">
        <f>IF(F37+SUM(E$17:E37)=D$10,F37,D$10-SUM(E$17:E37))</f>
        <v>3823558.1029537246</v>
      </c>
      <c r="E38" s="509">
        <f t="shared" si="10"/>
        <v>292537.15151515149</v>
      </c>
      <c r="F38" s="510">
        <f t="shared" si="11"/>
        <v>3531020.9514385732</v>
      </c>
      <c r="G38" s="511">
        <f t="shared" si="12"/>
        <v>714538.38892293046</v>
      </c>
      <c r="H38" s="477">
        <f t="shared" si="13"/>
        <v>714538.38892293046</v>
      </c>
      <c r="I38" s="500">
        <f t="shared" si="4"/>
        <v>0</v>
      </c>
      <c r="J38" s="500"/>
      <c r="K38" s="512"/>
      <c r="L38" s="504">
        <f t="shared" si="1"/>
        <v>0</v>
      </c>
      <c r="M38" s="512"/>
      <c r="N38" s="504">
        <f t="shared" si="2"/>
        <v>0</v>
      </c>
      <c r="O38" s="504">
        <f t="shared" si="3"/>
        <v>0</v>
      </c>
      <c r="P38" s="278"/>
    </row>
    <row r="39" spans="2:16">
      <c r="B39" s="145" t="str">
        <f t="shared" si="0"/>
        <v/>
      </c>
      <c r="C39" s="495">
        <f>IF(D11="","-",+C38+1)</f>
        <v>2039</v>
      </c>
      <c r="D39" s="508">
        <f>IF(F38+SUM(E$17:E38)=D$10,F38,D$10-SUM(E$17:E38))</f>
        <v>3531020.9514385732</v>
      </c>
      <c r="E39" s="509">
        <f t="shared" si="10"/>
        <v>292537.15151515149</v>
      </c>
      <c r="F39" s="510">
        <f t="shared" si="11"/>
        <v>3238483.7999234218</v>
      </c>
      <c r="G39" s="511">
        <f t="shared" si="12"/>
        <v>680967.18409553426</v>
      </c>
      <c r="H39" s="477">
        <f t="shared" si="13"/>
        <v>680967.18409553426</v>
      </c>
      <c r="I39" s="500">
        <f t="shared" si="4"/>
        <v>0</v>
      </c>
      <c r="J39" s="500"/>
      <c r="K39" s="512"/>
      <c r="L39" s="504">
        <f t="shared" si="1"/>
        <v>0</v>
      </c>
      <c r="M39" s="512"/>
      <c r="N39" s="504">
        <f t="shared" si="2"/>
        <v>0</v>
      </c>
      <c r="O39" s="504">
        <f t="shared" si="3"/>
        <v>0</v>
      </c>
      <c r="P39" s="278"/>
    </row>
    <row r="40" spans="2:16">
      <c r="B40" s="145" t="str">
        <f t="shared" si="0"/>
        <v/>
      </c>
      <c r="C40" s="495">
        <f>IF(D11="","-",+C39+1)</f>
        <v>2040</v>
      </c>
      <c r="D40" s="508">
        <f>IF(F39+SUM(E$17:E39)=D$10,F39,D$10-SUM(E$17:E39))</f>
        <v>3238483.7999234218</v>
      </c>
      <c r="E40" s="509">
        <f t="shared" si="10"/>
        <v>292537.15151515149</v>
      </c>
      <c r="F40" s="510">
        <f t="shared" si="11"/>
        <v>2945946.6484082704</v>
      </c>
      <c r="G40" s="511">
        <f t="shared" si="12"/>
        <v>647395.97926813818</v>
      </c>
      <c r="H40" s="477">
        <f t="shared" si="13"/>
        <v>647395.97926813818</v>
      </c>
      <c r="I40" s="500">
        <f t="shared" si="4"/>
        <v>0</v>
      </c>
      <c r="J40" s="500"/>
      <c r="K40" s="512"/>
      <c r="L40" s="504">
        <f t="shared" si="1"/>
        <v>0</v>
      </c>
      <c r="M40" s="512"/>
      <c r="N40" s="504">
        <f t="shared" si="2"/>
        <v>0</v>
      </c>
      <c r="O40" s="504">
        <f t="shared" si="3"/>
        <v>0</v>
      </c>
      <c r="P40" s="278"/>
    </row>
    <row r="41" spans="2:16">
      <c r="B41" s="145" t="str">
        <f t="shared" si="0"/>
        <v/>
      </c>
      <c r="C41" s="495">
        <f>IF(D11="","-",+C40+1)</f>
        <v>2041</v>
      </c>
      <c r="D41" s="508">
        <f>IF(F40+SUM(E$17:E40)=D$10,F40,D$10-SUM(E$17:E40))</f>
        <v>2945946.6484082704</v>
      </c>
      <c r="E41" s="509">
        <f t="shared" si="10"/>
        <v>292537.15151515149</v>
      </c>
      <c r="F41" s="510">
        <f t="shared" si="11"/>
        <v>2653409.4968931191</v>
      </c>
      <c r="G41" s="511">
        <f t="shared" si="12"/>
        <v>613824.77444074198</v>
      </c>
      <c r="H41" s="477">
        <f t="shared" si="13"/>
        <v>613824.77444074198</v>
      </c>
      <c r="I41" s="500">
        <f t="shared" si="4"/>
        <v>0</v>
      </c>
      <c r="J41" s="500"/>
      <c r="K41" s="512"/>
      <c r="L41" s="504">
        <f t="shared" si="1"/>
        <v>0</v>
      </c>
      <c r="M41" s="512"/>
      <c r="N41" s="504">
        <f t="shared" si="2"/>
        <v>0</v>
      </c>
      <c r="O41" s="504">
        <f t="shared" si="3"/>
        <v>0</v>
      </c>
      <c r="P41" s="278"/>
    </row>
    <row r="42" spans="2:16">
      <c r="B42" s="145" t="str">
        <f t="shared" si="0"/>
        <v/>
      </c>
      <c r="C42" s="495">
        <f>IF(D11="","-",+C41+1)</f>
        <v>2042</v>
      </c>
      <c r="D42" s="508">
        <f>IF(F41+SUM(E$17:E41)=D$10,F41,D$10-SUM(E$17:E41))</f>
        <v>2653409.4968931191</v>
      </c>
      <c r="E42" s="509">
        <f t="shared" si="10"/>
        <v>292537.15151515149</v>
      </c>
      <c r="F42" s="510">
        <f t="shared" si="11"/>
        <v>2360872.3453779677</v>
      </c>
      <c r="G42" s="511">
        <f t="shared" si="12"/>
        <v>580253.56961334578</v>
      </c>
      <c r="H42" s="477">
        <f t="shared" si="13"/>
        <v>580253.56961334578</v>
      </c>
      <c r="I42" s="500">
        <f t="shared" si="4"/>
        <v>0</v>
      </c>
      <c r="J42" s="500"/>
      <c r="K42" s="512"/>
      <c r="L42" s="504">
        <f t="shared" si="1"/>
        <v>0</v>
      </c>
      <c r="M42" s="512"/>
      <c r="N42" s="504">
        <f t="shared" si="2"/>
        <v>0</v>
      </c>
      <c r="O42" s="504">
        <f t="shared" si="3"/>
        <v>0</v>
      </c>
      <c r="P42" s="278"/>
    </row>
    <row r="43" spans="2:16">
      <c r="B43" s="145" t="str">
        <f t="shared" si="0"/>
        <v/>
      </c>
      <c r="C43" s="495">
        <f>IF(D11="","-",+C42+1)</f>
        <v>2043</v>
      </c>
      <c r="D43" s="508">
        <f>IF(F42+SUM(E$17:E42)=D$10,F42,D$10-SUM(E$17:E42))</f>
        <v>2360872.3453779677</v>
      </c>
      <c r="E43" s="509">
        <f t="shared" si="10"/>
        <v>292537.15151515149</v>
      </c>
      <c r="F43" s="510">
        <f t="shared" si="11"/>
        <v>2068335.1938628163</v>
      </c>
      <c r="G43" s="511">
        <f t="shared" si="12"/>
        <v>546682.36478594958</v>
      </c>
      <c r="H43" s="477">
        <f t="shared" si="13"/>
        <v>546682.36478594958</v>
      </c>
      <c r="I43" s="500">
        <f t="shared" si="4"/>
        <v>0</v>
      </c>
      <c r="J43" s="500"/>
      <c r="K43" s="512"/>
      <c r="L43" s="504">
        <f t="shared" si="1"/>
        <v>0</v>
      </c>
      <c r="M43" s="512"/>
      <c r="N43" s="504">
        <f t="shared" si="2"/>
        <v>0</v>
      </c>
      <c r="O43" s="504">
        <f t="shared" si="3"/>
        <v>0</v>
      </c>
      <c r="P43" s="278"/>
    </row>
    <row r="44" spans="2:16">
      <c r="B44" s="145" t="str">
        <f t="shared" si="0"/>
        <v/>
      </c>
      <c r="C44" s="495">
        <f>IF(D11="","-",+C43+1)</f>
        <v>2044</v>
      </c>
      <c r="D44" s="508">
        <f>IF(F43+SUM(E$17:E43)=D$10,F43,D$10-SUM(E$17:E43))</f>
        <v>2068335.1938628163</v>
      </c>
      <c r="E44" s="509">
        <f t="shared" si="10"/>
        <v>292537.15151515149</v>
      </c>
      <c r="F44" s="510">
        <f t="shared" si="11"/>
        <v>1775798.0423476649</v>
      </c>
      <c r="G44" s="511">
        <f t="shared" si="12"/>
        <v>513111.15995855338</v>
      </c>
      <c r="H44" s="477">
        <f t="shared" si="13"/>
        <v>513111.15995855338</v>
      </c>
      <c r="I44" s="500">
        <f t="shared" si="4"/>
        <v>0</v>
      </c>
      <c r="J44" s="500"/>
      <c r="K44" s="512"/>
      <c r="L44" s="504">
        <f t="shared" si="1"/>
        <v>0</v>
      </c>
      <c r="M44" s="512"/>
      <c r="N44" s="504">
        <f t="shared" si="2"/>
        <v>0</v>
      </c>
      <c r="O44" s="504">
        <f t="shared" si="3"/>
        <v>0</v>
      </c>
      <c r="P44" s="278"/>
    </row>
    <row r="45" spans="2:16">
      <c r="B45" s="145" t="str">
        <f t="shared" si="0"/>
        <v/>
      </c>
      <c r="C45" s="495">
        <f>IF(D11="","-",+C44+1)</f>
        <v>2045</v>
      </c>
      <c r="D45" s="508">
        <f>IF(F44+SUM(E$17:E44)=D$10,F44,D$10-SUM(E$17:E44))</f>
        <v>1775798.0423476649</v>
      </c>
      <c r="E45" s="509">
        <f t="shared" si="10"/>
        <v>292537.15151515149</v>
      </c>
      <c r="F45" s="510">
        <f t="shared" si="11"/>
        <v>1483260.8908325136</v>
      </c>
      <c r="G45" s="511">
        <f t="shared" si="12"/>
        <v>479539.95513115718</v>
      </c>
      <c r="H45" s="477">
        <f t="shared" si="13"/>
        <v>479539.95513115718</v>
      </c>
      <c r="I45" s="500">
        <f t="shared" si="4"/>
        <v>0</v>
      </c>
      <c r="J45" s="500"/>
      <c r="K45" s="512"/>
      <c r="L45" s="504">
        <f t="shared" si="1"/>
        <v>0</v>
      </c>
      <c r="M45" s="512"/>
      <c r="N45" s="504">
        <f t="shared" si="2"/>
        <v>0</v>
      </c>
      <c r="O45" s="504">
        <f t="shared" si="3"/>
        <v>0</v>
      </c>
      <c r="P45" s="278"/>
    </row>
    <row r="46" spans="2:16">
      <c r="B46" s="145" t="str">
        <f t="shared" si="0"/>
        <v/>
      </c>
      <c r="C46" s="495">
        <f>IF(D11="","-",+C45+1)</f>
        <v>2046</v>
      </c>
      <c r="D46" s="508">
        <f>IF(F45+SUM(E$17:E45)=D$10,F45,D$10-SUM(E$17:E45))</f>
        <v>1483260.8908325136</v>
      </c>
      <c r="E46" s="509">
        <f t="shared" si="10"/>
        <v>292537.15151515149</v>
      </c>
      <c r="F46" s="510">
        <f t="shared" si="11"/>
        <v>1190723.7393173622</v>
      </c>
      <c r="G46" s="511">
        <f t="shared" si="12"/>
        <v>445968.75030376099</v>
      </c>
      <c r="H46" s="477">
        <f t="shared" si="13"/>
        <v>445968.75030376099</v>
      </c>
      <c r="I46" s="500">
        <f t="shared" si="4"/>
        <v>0</v>
      </c>
      <c r="J46" s="500"/>
      <c r="K46" s="512"/>
      <c r="L46" s="504">
        <f t="shared" si="1"/>
        <v>0</v>
      </c>
      <c r="M46" s="512"/>
      <c r="N46" s="504">
        <f t="shared" si="2"/>
        <v>0</v>
      </c>
      <c r="O46" s="504">
        <f t="shared" si="3"/>
        <v>0</v>
      </c>
      <c r="P46" s="278"/>
    </row>
    <row r="47" spans="2:16">
      <c r="B47" s="145" t="str">
        <f t="shared" si="0"/>
        <v/>
      </c>
      <c r="C47" s="495">
        <f>IF(D11="","-",+C46+1)</f>
        <v>2047</v>
      </c>
      <c r="D47" s="508">
        <f>IF(F46+SUM(E$17:E46)=D$10,F46,D$10-SUM(E$17:E46))</f>
        <v>1190723.7393173622</v>
      </c>
      <c r="E47" s="509">
        <f t="shared" si="10"/>
        <v>292537.15151515149</v>
      </c>
      <c r="F47" s="510">
        <f t="shared" si="11"/>
        <v>898186.58780221071</v>
      </c>
      <c r="G47" s="511">
        <f t="shared" si="12"/>
        <v>412397.54547636479</v>
      </c>
      <c r="H47" s="477">
        <f t="shared" si="13"/>
        <v>412397.54547636479</v>
      </c>
      <c r="I47" s="500">
        <f t="shared" si="4"/>
        <v>0</v>
      </c>
      <c r="J47" s="500"/>
      <c r="K47" s="512"/>
      <c r="L47" s="504">
        <f t="shared" si="1"/>
        <v>0</v>
      </c>
      <c r="M47" s="512"/>
      <c r="N47" s="504">
        <f t="shared" si="2"/>
        <v>0</v>
      </c>
      <c r="O47" s="504">
        <f t="shared" si="3"/>
        <v>0</v>
      </c>
      <c r="P47" s="278"/>
    </row>
    <row r="48" spans="2:16">
      <c r="B48" s="145" t="str">
        <f t="shared" si="0"/>
        <v/>
      </c>
      <c r="C48" s="495">
        <f>IF(D11="","-",+C47+1)</f>
        <v>2048</v>
      </c>
      <c r="D48" s="508">
        <f>IF(F47+SUM(E$17:E47)=D$10,F47,D$10-SUM(E$17:E47))</f>
        <v>898186.58780221071</v>
      </c>
      <c r="E48" s="509">
        <f t="shared" si="10"/>
        <v>292537.15151515149</v>
      </c>
      <c r="F48" s="510">
        <f t="shared" si="11"/>
        <v>605649.43628705922</v>
      </c>
      <c r="G48" s="511">
        <f t="shared" si="12"/>
        <v>378826.34064896859</v>
      </c>
      <c r="H48" s="477">
        <f t="shared" si="13"/>
        <v>378826.34064896859</v>
      </c>
      <c r="I48" s="500">
        <f t="shared" si="4"/>
        <v>0</v>
      </c>
      <c r="J48" s="500"/>
      <c r="K48" s="512"/>
      <c r="L48" s="504">
        <f t="shared" si="1"/>
        <v>0</v>
      </c>
      <c r="M48" s="512"/>
      <c r="N48" s="504">
        <f t="shared" si="2"/>
        <v>0</v>
      </c>
      <c r="O48" s="504">
        <f t="shared" si="3"/>
        <v>0</v>
      </c>
      <c r="P48" s="278"/>
    </row>
    <row r="49" spans="2:16">
      <c r="B49" s="145" t="str">
        <f t="shared" si="0"/>
        <v/>
      </c>
      <c r="C49" s="495">
        <f>IF(D11="","-",+C48+1)</f>
        <v>2049</v>
      </c>
      <c r="D49" s="508">
        <f>IF(F48+SUM(E$17:E48)=D$10,F48,D$10-SUM(E$17:E48))</f>
        <v>605649.43628705922</v>
      </c>
      <c r="E49" s="509">
        <f t="shared" si="10"/>
        <v>292537.15151515149</v>
      </c>
      <c r="F49" s="510">
        <f t="shared" si="11"/>
        <v>313112.28477190773</v>
      </c>
      <c r="G49" s="511">
        <f t="shared" ref="G49:G71" si="14">(D49+F49)/2*I$12+E49</f>
        <v>345255.13582157239</v>
      </c>
      <c r="H49" s="477">
        <f t="shared" ref="H49:H71" si="15">+(D49+F49)/2*I$13+E49</f>
        <v>345255.13582157239</v>
      </c>
      <c r="I49" s="500">
        <f t="shared" si="4"/>
        <v>0</v>
      </c>
      <c r="J49" s="500"/>
      <c r="K49" s="512"/>
      <c r="L49" s="504">
        <f t="shared" si="1"/>
        <v>0</v>
      </c>
      <c r="M49" s="512"/>
      <c r="N49" s="504">
        <f t="shared" si="2"/>
        <v>0</v>
      </c>
      <c r="O49" s="504">
        <f t="shared" si="3"/>
        <v>0</v>
      </c>
      <c r="P49" s="278"/>
    </row>
    <row r="50" spans="2:16">
      <c r="B50" s="145" t="str">
        <f t="shared" si="0"/>
        <v/>
      </c>
      <c r="C50" s="495">
        <f>IF(D11="","-",+C49+1)</f>
        <v>2050</v>
      </c>
      <c r="D50" s="508">
        <f>IF(F49+SUM(E$17:E49)=D$10,F49,D$10-SUM(E$17:E49))</f>
        <v>313112.28477190773</v>
      </c>
      <c r="E50" s="509">
        <f t="shared" ref="E50:E71" si="16">IF(+I$14&lt;F49,I$14,D50)</f>
        <v>292537.15151515149</v>
      </c>
      <c r="F50" s="510">
        <f t="shared" si="11"/>
        <v>20575.133256756235</v>
      </c>
      <c r="G50" s="511">
        <f t="shared" si="14"/>
        <v>311683.93099417613</v>
      </c>
      <c r="H50" s="477">
        <f t="shared" si="15"/>
        <v>311683.93099417613</v>
      </c>
      <c r="I50" s="500">
        <f t="shared" si="4"/>
        <v>0</v>
      </c>
      <c r="J50" s="500"/>
      <c r="K50" s="512"/>
      <c r="L50" s="504">
        <f t="shared" si="1"/>
        <v>0</v>
      </c>
      <c r="M50" s="512"/>
      <c r="N50" s="504">
        <f t="shared" si="2"/>
        <v>0</v>
      </c>
      <c r="O50" s="504">
        <f t="shared" si="3"/>
        <v>0</v>
      </c>
      <c r="P50" s="278"/>
    </row>
    <row r="51" spans="2:16">
      <c r="B51" s="145" t="str">
        <f t="shared" si="0"/>
        <v/>
      </c>
      <c r="C51" s="495">
        <f>IF(D11="","-",+C50+1)</f>
        <v>2051</v>
      </c>
      <c r="D51" s="508">
        <f>IF(F50+SUM(E$17:E50)=D$10,F50,D$10-SUM(E$17:E50))</f>
        <v>20575.133256756235</v>
      </c>
      <c r="E51" s="509">
        <f t="shared" si="16"/>
        <v>20575.133256756235</v>
      </c>
      <c r="F51" s="510">
        <f t="shared" si="11"/>
        <v>0</v>
      </c>
      <c r="G51" s="511">
        <f t="shared" si="14"/>
        <v>21755.721789419513</v>
      </c>
      <c r="H51" s="477">
        <f t="shared" si="15"/>
        <v>21755.721789419513</v>
      </c>
      <c r="I51" s="500">
        <f t="shared" si="4"/>
        <v>0</v>
      </c>
      <c r="J51" s="500"/>
      <c r="K51" s="512"/>
      <c r="L51" s="504">
        <f t="shared" si="1"/>
        <v>0</v>
      </c>
      <c r="M51" s="512"/>
      <c r="N51" s="504">
        <f t="shared" si="2"/>
        <v>0</v>
      </c>
      <c r="O51" s="504">
        <f t="shared" si="3"/>
        <v>0</v>
      </c>
      <c r="P51" s="278"/>
    </row>
    <row r="52" spans="2:16">
      <c r="B52" s="145" t="str">
        <f t="shared" si="0"/>
        <v/>
      </c>
      <c r="C52" s="495">
        <f>IF(D11="","-",+C51+1)</f>
        <v>2052</v>
      </c>
      <c r="D52" s="508">
        <f>IF(F51+SUM(E$17:E51)=D$10,F51,D$10-SUM(E$17:E51))</f>
        <v>0</v>
      </c>
      <c r="E52" s="509">
        <f t="shared" si="16"/>
        <v>0</v>
      </c>
      <c r="F52" s="510">
        <f t="shared" si="11"/>
        <v>0</v>
      </c>
      <c r="G52" s="511">
        <f t="shared" si="14"/>
        <v>0</v>
      </c>
      <c r="H52" s="477">
        <f t="shared" si="15"/>
        <v>0</v>
      </c>
      <c r="I52" s="500">
        <f t="shared" si="4"/>
        <v>0</v>
      </c>
      <c r="J52" s="500"/>
      <c r="K52" s="512"/>
      <c r="L52" s="504">
        <f t="shared" si="1"/>
        <v>0</v>
      </c>
      <c r="M52" s="512"/>
      <c r="N52" s="504">
        <f t="shared" si="2"/>
        <v>0</v>
      </c>
      <c r="O52" s="504">
        <f t="shared" si="3"/>
        <v>0</v>
      </c>
      <c r="P52" s="278"/>
    </row>
    <row r="53" spans="2:16">
      <c r="B53" s="145" t="str">
        <f t="shared" si="0"/>
        <v/>
      </c>
      <c r="C53" s="495">
        <f>IF(D11="","-",+C52+1)</f>
        <v>2053</v>
      </c>
      <c r="D53" s="508">
        <f>IF(F52+SUM(E$17:E52)=D$10,F52,D$10-SUM(E$17:E52))</f>
        <v>0</v>
      </c>
      <c r="E53" s="509">
        <f t="shared" si="16"/>
        <v>0</v>
      </c>
      <c r="F53" s="510">
        <f t="shared" si="11"/>
        <v>0</v>
      </c>
      <c r="G53" s="511">
        <f t="shared" si="14"/>
        <v>0</v>
      </c>
      <c r="H53" s="477">
        <f t="shared" si="15"/>
        <v>0</v>
      </c>
      <c r="I53" s="500">
        <f t="shared" si="4"/>
        <v>0</v>
      </c>
      <c r="J53" s="500"/>
      <c r="K53" s="512"/>
      <c r="L53" s="504">
        <f t="shared" si="1"/>
        <v>0</v>
      </c>
      <c r="M53" s="512"/>
      <c r="N53" s="504">
        <f t="shared" si="2"/>
        <v>0</v>
      </c>
      <c r="O53" s="504">
        <f t="shared" si="3"/>
        <v>0</v>
      </c>
      <c r="P53" s="278"/>
    </row>
    <row r="54" spans="2:16">
      <c r="B54" s="145" t="str">
        <f t="shared" si="0"/>
        <v/>
      </c>
      <c r="C54" s="495">
        <f>IF(D11="","-",+C53+1)</f>
        <v>2054</v>
      </c>
      <c r="D54" s="508">
        <f>IF(F53+SUM(E$17:E53)=D$10,F53,D$10-SUM(E$17:E53))</f>
        <v>0</v>
      </c>
      <c r="E54" s="509">
        <f t="shared" si="16"/>
        <v>0</v>
      </c>
      <c r="F54" s="510">
        <f t="shared" si="11"/>
        <v>0</v>
      </c>
      <c r="G54" s="511">
        <f t="shared" si="14"/>
        <v>0</v>
      </c>
      <c r="H54" s="477">
        <f t="shared" si="15"/>
        <v>0</v>
      </c>
      <c r="I54" s="500">
        <f t="shared" si="4"/>
        <v>0</v>
      </c>
      <c r="J54" s="500"/>
      <c r="K54" s="512"/>
      <c r="L54" s="504">
        <f t="shared" si="1"/>
        <v>0</v>
      </c>
      <c r="M54" s="512"/>
      <c r="N54" s="504">
        <f t="shared" si="2"/>
        <v>0</v>
      </c>
      <c r="O54" s="504">
        <f t="shared" si="3"/>
        <v>0</v>
      </c>
      <c r="P54" s="278"/>
    </row>
    <row r="55" spans="2:16">
      <c r="B55" s="145" t="str">
        <f t="shared" si="0"/>
        <v/>
      </c>
      <c r="C55" s="495">
        <f>IF(D11="","-",+C54+1)</f>
        <v>2055</v>
      </c>
      <c r="D55" s="508">
        <f>IF(F54+SUM(E$17:E54)=D$10,F54,D$10-SUM(E$17:E54))</f>
        <v>0</v>
      </c>
      <c r="E55" s="509">
        <f t="shared" si="16"/>
        <v>0</v>
      </c>
      <c r="F55" s="510">
        <f t="shared" si="11"/>
        <v>0</v>
      </c>
      <c r="G55" s="511">
        <f t="shared" si="14"/>
        <v>0</v>
      </c>
      <c r="H55" s="477">
        <f t="shared" si="15"/>
        <v>0</v>
      </c>
      <c r="I55" s="500">
        <f t="shared" si="4"/>
        <v>0</v>
      </c>
      <c r="J55" s="500"/>
      <c r="K55" s="512"/>
      <c r="L55" s="504">
        <f t="shared" si="1"/>
        <v>0</v>
      </c>
      <c r="M55" s="512"/>
      <c r="N55" s="504">
        <f t="shared" si="2"/>
        <v>0</v>
      </c>
      <c r="O55" s="504">
        <f t="shared" si="3"/>
        <v>0</v>
      </c>
      <c r="P55" s="278"/>
    </row>
    <row r="56" spans="2:16">
      <c r="B56" s="145" t="str">
        <f t="shared" si="0"/>
        <v/>
      </c>
      <c r="C56" s="495">
        <f>IF(D11="","-",+C55+1)</f>
        <v>2056</v>
      </c>
      <c r="D56" s="508">
        <f>IF(F55+SUM(E$17:E55)=D$10,F55,D$10-SUM(E$17:E55))</f>
        <v>0</v>
      </c>
      <c r="E56" s="509">
        <f t="shared" si="16"/>
        <v>0</v>
      </c>
      <c r="F56" s="510">
        <f t="shared" si="11"/>
        <v>0</v>
      </c>
      <c r="G56" s="511">
        <f t="shared" si="14"/>
        <v>0</v>
      </c>
      <c r="H56" s="477">
        <f t="shared" si="15"/>
        <v>0</v>
      </c>
      <c r="I56" s="500">
        <f t="shared" si="4"/>
        <v>0</v>
      </c>
      <c r="J56" s="500"/>
      <c r="K56" s="512"/>
      <c r="L56" s="504">
        <f t="shared" si="1"/>
        <v>0</v>
      </c>
      <c r="M56" s="512"/>
      <c r="N56" s="504">
        <f t="shared" si="2"/>
        <v>0</v>
      </c>
      <c r="O56" s="504">
        <f t="shared" si="3"/>
        <v>0</v>
      </c>
      <c r="P56" s="278"/>
    </row>
    <row r="57" spans="2:16">
      <c r="B57" s="145" t="str">
        <f t="shared" si="0"/>
        <v/>
      </c>
      <c r="C57" s="495">
        <f>IF(D11="","-",+C56+1)</f>
        <v>2057</v>
      </c>
      <c r="D57" s="508">
        <f>IF(F56+SUM(E$17:E56)=D$10,F56,D$10-SUM(E$17:E56))</f>
        <v>0</v>
      </c>
      <c r="E57" s="509">
        <f t="shared" si="16"/>
        <v>0</v>
      </c>
      <c r="F57" s="510">
        <f t="shared" si="11"/>
        <v>0</v>
      </c>
      <c r="G57" s="511">
        <f t="shared" si="14"/>
        <v>0</v>
      </c>
      <c r="H57" s="477">
        <f t="shared" si="15"/>
        <v>0</v>
      </c>
      <c r="I57" s="500">
        <f t="shared" si="4"/>
        <v>0</v>
      </c>
      <c r="J57" s="500"/>
      <c r="K57" s="512"/>
      <c r="L57" s="504">
        <f t="shared" si="1"/>
        <v>0</v>
      </c>
      <c r="M57" s="512"/>
      <c r="N57" s="504">
        <f t="shared" si="2"/>
        <v>0</v>
      </c>
      <c r="O57" s="504">
        <f t="shared" si="3"/>
        <v>0</v>
      </c>
      <c r="P57" s="278"/>
    </row>
    <row r="58" spans="2:16">
      <c r="B58" s="145" t="str">
        <f t="shared" si="0"/>
        <v/>
      </c>
      <c r="C58" s="495">
        <f>IF(D11="","-",+C57+1)</f>
        <v>2058</v>
      </c>
      <c r="D58" s="508">
        <f>IF(F57+SUM(E$17:E57)=D$10,F57,D$10-SUM(E$17:E57))</f>
        <v>0</v>
      </c>
      <c r="E58" s="509">
        <f t="shared" si="16"/>
        <v>0</v>
      </c>
      <c r="F58" s="510">
        <f t="shared" si="11"/>
        <v>0</v>
      </c>
      <c r="G58" s="511">
        <f t="shared" si="14"/>
        <v>0</v>
      </c>
      <c r="H58" s="477">
        <f t="shared" si="15"/>
        <v>0</v>
      </c>
      <c r="I58" s="500">
        <f t="shared" si="4"/>
        <v>0</v>
      </c>
      <c r="J58" s="500"/>
      <c r="K58" s="512"/>
      <c r="L58" s="504">
        <f t="shared" si="1"/>
        <v>0</v>
      </c>
      <c r="M58" s="512"/>
      <c r="N58" s="504">
        <f t="shared" si="2"/>
        <v>0</v>
      </c>
      <c r="O58" s="504">
        <f t="shared" si="3"/>
        <v>0</v>
      </c>
      <c r="P58" s="278"/>
    </row>
    <row r="59" spans="2:16">
      <c r="B59" s="145" t="str">
        <f t="shared" si="0"/>
        <v/>
      </c>
      <c r="C59" s="495">
        <f>IF(D11="","-",+C58+1)</f>
        <v>2059</v>
      </c>
      <c r="D59" s="508">
        <f>IF(F58+SUM(E$17:E58)=D$10,F58,D$10-SUM(E$17:E58))</f>
        <v>0</v>
      </c>
      <c r="E59" s="509">
        <f t="shared" si="16"/>
        <v>0</v>
      </c>
      <c r="F59" s="510">
        <f t="shared" si="11"/>
        <v>0</v>
      </c>
      <c r="G59" s="511">
        <f t="shared" si="14"/>
        <v>0</v>
      </c>
      <c r="H59" s="477">
        <f t="shared" si="15"/>
        <v>0</v>
      </c>
      <c r="I59" s="500">
        <f t="shared" si="4"/>
        <v>0</v>
      </c>
      <c r="J59" s="500"/>
      <c r="K59" s="512"/>
      <c r="L59" s="504">
        <f t="shared" si="1"/>
        <v>0</v>
      </c>
      <c r="M59" s="512"/>
      <c r="N59" s="504">
        <f t="shared" si="2"/>
        <v>0</v>
      </c>
      <c r="O59" s="504">
        <f t="shared" si="3"/>
        <v>0</v>
      </c>
      <c r="P59" s="278"/>
    </row>
    <row r="60" spans="2:16">
      <c r="B60" s="145" t="str">
        <f t="shared" si="0"/>
        <v/>
      </c>
      <c r="C60" s="495">
        <f>IF(D11="","-",+C59+1)</f>
        <v>2060</v>
      </c>
      <c r="D60" s="508">
        <f>IF(F59+SUM(E$17:E59)=D$10,F59,D$10-SUM(E$17:E59))</f>
        <v>0</v>
      </c>
      <c r="E60" s="509">
        <f t="shared" si="16"/>
        <v>0</v>
      </c>
      <c r="F60" s="510">
        <f t="shared" si="11"/>
        <v>0</v>
      </c>
      <c r="G60" s="511">
        <f t="shared" si="14"/>
        <v>0</v>
      </c>
      <c r="H60" s="477">
        <f t="shared" si="15"/>
        <v>0</v>
      </c>
      <c r="I60" s="500">
        <f t="shared" si="4"/>
        <v>0</v>
      </c>
      <c r="J60" s="500"/>
      <c r="K60" s="512"/>
      <c r="L60" s="504">
        <f t="shared" si="1"/>
        <v>0</v>
      </c>
      <c r="M60" s="512"/>
      <c r="N60" s="504">
        <f t="shared" si="2"/>
        <v>0</v>
      </c>
      <c r="O60" s="504">
        <f t="shared" si="3"/>
        <v>0</v>
      </c>
      <c r="P60" s="278"/>
    </row>
    <row r="61" spans="2:16">
      <c r="B61" s="145" t="str">
        <f t="shared" si="0"/>
        <v/>
      </c>
      <c r="C61" s="495">
        <f>IF(D11="","-",+C60+1)</f>
        <v>2061</v>
      </c>
      <c r="D61" s="508">
        <f>IF(F60+SUM(E$17:E60)=D$10,F60,D$10-SUM(E$17:E60))</f>
        <v>0</v>
      </c>
      <c r="E61" s="509">
        <f t="shared" si="16"/>
        <v>0</v>
      </c>
      <c r="F61" s="510">
        <f t="shared" si="11"/>
        <v>0</v>
      </c>
      <c r="G61" s="523">
        <f t="shared" si="14"/>
        <v>0</v>
      </c>
      <c r="H61" s="477">
        <f t="shared" si="15"/>
        <v>0</v>
      </c>
      <c r="I61" s="500">
        <f t="shared" si="4"/>
        <v>0</v>
      </c>
      <c r="J61" s="500"/>
      <c r="K61" s="512"/>
      <c r="L61" s="504">
        <f t="shared" si="1"/>
        <v>0</v>
      </c>
      <c r="M61" s="512"/>
      <c r="N61" s="504">
        <f t="shared" si="2"/>
        <v>0</v>
      </c>
      <c r="O61" s="504">
        <f t="shared" si="3"/>
        <v>0</v>
      </c>
      <c r="P61" s="278"/>
    </row>
    <row r="62" spans="2:16">
      <c r="B62" s="145" t="str">
        <f t="shared" si="0"/>
        <v/>
      </c>
      <c r="C62" s="495">
        <f>IF(D11="","-",+C61+1)</f>
        <v>2062</v>
      </c>
      <c r="D62" s="508">
        <f>IF(F61+SUM(E$17:E61)=D$10,F61,D$10-SUM(E$17:E61))</f>
        <v>0</v>
      </c>
      <c r="E62" s="509">
        <f t="shared" si="16"/>
        <v>0</v>
      </c>
      <c r="F62" s="510">
        <f t="shared" si="11"/>
        <v>0</v>
      </c>
      <c r="G62" s="523">
        <f t="shared" si="14"/>
        <v>0</v>
      </c>
      <c r="H62" s="477">
        <f t="shared" si="15"/>
        <v>0</v>
      </c>
      <c r="I62" s="500">
        <f t="shared" si="4"/>
        <v>0</v>
      </c>
      <c r="J62" s="500"/>
      <c r="K62" s="512"/>
      <c r="L62" s="504">
        <f t="shared" si="1"/>
        <v>0</v>
      </c>
      <c r="M62" s="512"/>
      <c r="N62" s="504">
        <f t="shared" si="2"/>
        <v>0</v>
      </c>
      <c r="O62" s="504">
        <f t="shared" si="3"/>
        <v>0</v>
      </c>
      <c r="P62" s="278"/>
    </row>
    <row r="63" spans="2:16">
      <c r="B63" s="145" t="str">
        <f t="shared" si="0"/>
        <v/>
      </c>
      <c r="C63" s="495">
        <f>IF(D11="","-",+C62+1)</f>
        <v>2063</v>
      </c>
      <c r="D63" s="508">
        <f>IF(F62+SUM(E$17:E62)=D$10,F62,D$10-SUM(E$17:E62))</f>
        <v>0</v>
      </c>
      <c r="E63" s="509">
        <f t="shared" si="16"/>
        <v>0</v>
      </c>
      <c r="F63" s="510">
        <f t="shared" si="11"/>
        <v>0</v>
      </c>
      <c r="G63" s="523">
        <f t="shared" si="14"/>
        <v>0</v>
      </c>
      <c r="H63" s="477">
        <f t="shared" si="15"/>
        <v>0</v>
      </c>
      <c r="I63" s="500">
        <f t="shared" si="4"/>
        <v>0</v>
      </c>
      <c r="J63" s="500"/>
      <c r="K63" s="512"/>
      <c r="L63" s="504">
        <f t="shared" si="1"/>
        <v>0</v>
      </c>
      <c r="M63" s="512"/>
      <c r="N63" s="504">
        <f t="shared" si="2"/>
        <v>0</v>
      </c>
      <c r="O63" s="504">
        <f t="shared" si="3"/>
        <v>0</v>
      </c>
      <c r="P63" s="278"/>
    </row>
    <row r="64" spans="2:16">
      <c r="B64" s="145" t="str">
        <f t="shared" si="0"/>
        <v/>
      </c>
      <c r="C64" s="495">
        <f>IF(D11="","-",+C63+1)</f>
        <v>2064</v>
      </c>
      <c r="D64" s="508">
        <f>IF(F63+SUM(E$17:E63)=D$10,F63,D$10-SUM(E$17:E63))</f>
        <v>0</v>
      </c>
      <c r="E64" s="509">
        <f t="shared" si="16"/>
        <v>0</v>
      </c>
      <c r="F64" s="510">
        <f t="shared" si="11"/>
        <v>0</v>
      </c>
      <c r="G64" s="523">
        <f t="shared" si="14"/>
        <v>0</v>
      </c>
      <c r="H64" s="477">
        <f t="shared" si="15"/>
        <v>0</v>
      </c>
      <c r="I64" s="500">
        <f t="shared" si="4"/>
        <v>0</v>
      </c>
      <c r="J64" s="500"/>
      <c r="K64" s="512"/>
      <c r="L64" s="504">
        <f t="shared" si="1"/>
        <v>0</v>
      </c>
      <c r="M64" s="512"/>
      <c r="N64" s="504">
        <f t="shared" si="2"/>
        <v>0</v>
      </c>
      <c r="O64" s="504">
        <f t="shared" si="3"/>
        <v>0</v>
      </c>
      <c r="P64" s="278"/>
    </row>
    <row r="65" spans="2:16">
      <c r="B65" s="145" t="str">
        <f t="shared" si="0"/>
        <v/>
      </c>
      <c r="C65" s="495">
        <f>IF(D11="","-",+C64+1)</f>
        <v>2065</v>
      </c>
      <c r="D65" s="508">
        <f>IF(F64+SUM(E$17:E64)=D$10,F64,D$10-SUM(E$17:E64))</f>
        <v>0</v>
      </c>
      <c r="E65" s="509">
        <f t="shared" si="16"/>
        <v>0</v>
      </c>
      <c r="F65" s="510">
        <f t="shared" si="11"/>
        <v>0</v>
      </c>
      <c r="G65" s="523">
        <f t="shared" si="14"/>
        <v>0</v>
      </c>
      <c r="H65" s="477">
        <f t="shared" si="15"/>
        <v>0</v>
      </c>
      <c r="I65" s="500">
        <f t="shared" si="4"/>
        <v>0</v>
      </c>
      <c r="J65" s="500"/>
      <c r="K65" s="512"/>
      <c r="L65" s="504">
        <f t="shared" si="1"/>
        <v>0</v>
      </c>
      <c r="M65" s="512"/>
      <c r="N65" s="504">
        <f t="shared" si="2"/>
        <v>0</v>
      </c>
      <c r="O65" s="504">
        <f t="shared" si="3"/>
        <v>0</v>
      </c>
      <c r="P65" s="278"/>
    </row>
    <row r="66" spans="2:16">
      <c r="B66" s="145" t="str">
        <f t="shared" si="0"/>
        <v/>
      </c>
      <c r="C66" s="495">
        <f>IF(D11="","-",+C65+1)</f>
        <v>2066</v>
      </c>
      <c r="D66" s="508">
        <f>IF(F65+SUM(E$17:E65)=D$10,F65,D$10-SUM(E$17:E65))</f>
        <v>0</v>
      </c>
      <c r="E66" s="509">
        <f t="shared" si="16"/>
        <v>0</v>
      </c>
      <c r="F66" s="510">
        <f t="shared" si="11"/>
        <v>0</v>
      </c>
      <c r="G66" s="523">
        <f t="shared" si="14"/>
        <v>0</v>
      </c>
      <c r="H66" s="477">
        <f t="shared" si="15"/>
        <v>0</v>
      </c>
      <c r="I66" s="500">
        <f t="shared" si="4"/>
        <v>0</v>
      </c>
      <c r="J66" s="500"/>
      <c r="K66" s="512"/>
      <c r="L66" s="504">
        <f t="shared" si="1"/>
        <v>0</v>
      </c>
      <c r="M66" s="512"/>
      <c r="N66" s="504">
        <f t="shared" si="2"/>
        <v>0</v>
      </c>
      <c r="O66" s="504">
        <f t="shared" si="3"/>
        <v>0</v>
      </c>
      <c r="P66" s="278"/>
    </row>
    <row r="67" spans="2:16">
      <c r="B67" s="145" t="str">
        <f t="shared" si="0"/>
        <v/>
      </c>
      <c r="C67" s="495">
        <f>IF(D11="","-",+C66+1)</f>
        <v>2067</v>
      </c>
      <c r="D67" s="508">
        <f>IF(F66+SUM(E$17:E66)=D$10,F66,D$10-SUM(E$17:E66))</f>
        <v>0</v>
      </c>
      <c r="E67" s="509">
        <f t="shared" si="16"/>
        <v>0</v>
      </c>
      <c r="F67" s="510">
        <f t="shared" si="11"/>
        <v>0</v>
      </c>
      <c r="G67" s="523">
        <f t="shared" si="14"/>
        <v>0</v>
      </c>
      <c r="H67" s="477">
        <f t="shared" si="15"/>
        <v>0</v>
      </c>
      <c r="I67" s="500">
        <f t="shared" si="4"/>
        <v>0</v>
      </c>
      <c r="J67" s="500"/>
      <c r="K67" s="512"/>
      <c r="L67" s="504">
        <f t="shared" si="1"/>
        <v>0</v>
      </c>
      <c r="M67" s="512"/>
      <c r="N67" s="504">
        <f t="shared" si="2"/>
        <v>0</v>
      </c>
      <c r="O67" s="504">
        <f t="shared" si="3"/>
        <v>0</v>
      </c>
      <c r="P67" s="278"/>
    </row>
    <row r="68" spans="2:16">
      <c r="B68" s="145" t="str">
        <f t="shared" si="0"/>
        <v/>
      </c>
      <c r="C68" s="495">
        <f>IF(D11="","-",+C67+1)</f>
        <v>2068</v>
      </c>
      <c r="D68" s="508">
        <f>IF(F67+SUM(E$17:E67)=D$10,F67,D$10-SUM(E$17:E67))</f>
        <v>0</v>
      </c>
      <c r="E68" s="509">
        <f t="shared" si="16"/>
        <v>0</v>
      </c>
      <c r="F68" s="510">
        <f t="shared" si="11"/>
        <v>0</v>
      </c>
      <c r="G68" s="523">
        <f t="shared" si="14"/>
        <v>0</v>
      </c>
      <c r="H68" s="477">
        <f t="shared" si="15"/>
        <v>0</v>
      </c>
      <c r="I68" s="500">
        <f t="shared" si="4"/>
        <v>0</v>
      </c>
      <c r="J68" s="500"/>
      <c r="K68" s="512"/>
      <c r="L68" s="504">
        <f t="shared" si="1"/>
        <v>0</v>
      </c>
      <c r="M68" s="512"/>
      <c r="N68" s="504">
        <f t="shared" si="2"/>
        <v>0</v>
      </c>
      <c r="O68" s="504">
        <f t="shared" si="3"/>
        <v>0</v>
      </c>
      <c r="P68" s="278"/>
    </row>
    <row r="69" spans="2:16">
      <c r="B69" s="145" t="str">
        <f t="shared" si="0"/>
        <v/>
      </c>
      <c r="C69" s="495">
        <f>IF(D11="","-",+C68+1)</f>
        <v>2069</v>
      </c>
      <c r="D69" s="508">
        <f>IF(F68+SUM(E$17:E68)=D$10,F68,D$10-SUM(E$17:E68))</f>
        <v>0</v>
      </c>
      <c r="E69" s="509">
        <f t="shared" si="16"/>
        <v>0</v>
      </c>
      <c r="F69" s="510">
        <f t="shared" si="11"/>
        <v>0</v>
      </c>
      <c r="G69" s="523">
        <f t="shared" si="14"/>
        <v>0</v>
      </c>
      <c r="H69" s="477">
        <f t="shared" si="15"/>
        <v>0</v>
      </c>
      <c r="I69" s="500">
        <f t="shared" si="4"/>
        <v>0</v>
      </c>
      <c r="J69" s="500"/>
      <c r="K69" s="512"/>
      <c r="L69" s="504">
        <f t="shared" si="1"/>
        <v>0</v>
      </c>
      <c r="M69" s="512"/>
      <c r="N69" s="504">
        <f t="shared" si="2"/>
        <v>0</v>
      </c>
      <c r="O69" s="504">
        <f t="shared" si="3"/>
        <v>0</v>
      </c>
      <c r="P69" s="278"/>
    </row>
    <row r="70" spans="2:16">
      <c r="B70" s="145" t="str">
        <f t="shared" si="0"/>
        <v/>
      </c>
      <c r="C70" s="495">
        <f>IF(D11="","-",+C69+1)</f>
        <v>2070</v>
      </c>
      <c r="D70" s="508">
        <f>IF(F69+SUM(E$17:E69)=D$10,F69,D$10-SUM(E$17:E69))</f>
        <v>0</v>
      </c>
      <c r="E70" s="509">
        <f t="shared" si="16"/>
        <v>0</v>
      </c>
      <c r="F70" s="510">
        <f t="shared" si="11"/>
        <v>0</v>
      </c>
      <c r="G70" s="523">
        <f t="shared" si="14"/>
        <v>0</v>
      </c>
      <c r="H70" s="477">
        <f t="shared" si="15"/>
        <v>0</v>
      </c>
      <c r="I70" s="500">
        <f t="shared" si="4"/>
        <v>0</v>
      </c>
      <c r="J70" s="500"/>
      <c r="K70" s="512"/>
      <c r="L70" s="504">
        <f t="shared" si="1"/>
        <v>0</v>
      </c>
      <c r="M70" s="512"/>
      <c r="N70" s="504">
        <f t="shared" si="2"/>
        <v>0</v>
      </c>
      <c r="O70" s="504">
        <f t="shared" si="3"/>
        <v>0</v>
      </c>
      <c r="P70" s="278"/>
    </row>
    <row r="71" spans="2:16">
      <c r="B71" s="145" t="str">
        <f t="shared" si="0"/>
        <v/>
      </c>
      <c r="C71" s="495">
        <f>IF(D11="","-",+C70+1)</f>
        <v>2071</v>
      </c>
      <c r="D71" s="508">
        <f>IF(F70+SUM(E$17:E70)=D$10,F70,D$10-SUM(E$17:E70))</f>
        <v>0</v>
      </c>
      <c r="E71" s="509">
        <f t="shared" si="16"/>
        <v>0</v>
      </c>
      <c r="F71" s="510">
        <f t="shared" si="11"/>
        <v>0</v>
      </c>
      <c r="G71" s="523">
        <f t="shared" si="14"/>
        <v>0</v>
      </c>
      <c r="H71" s="477">
        <f t="shared" si="15"/>
        <v>0</v>
      </c>
      <c r="I71" s="500">
        <f t="shared" si="4"/>
        <v>0</v>
      </c>
      <c r="J71" s="500"/>
      <c r="K71" s="512"/>
      <c r="L71" s="504">
        <f t="shared" si="1"/>
        <v>0</v>
      </c>
      <c r="M71" s="512"/>
      <c r="N71" s="504">
        <f t="shared" si="2"/>
        <v>0</v>
      </c>
      <c r="O71" s="504">
        <f t="shared" si="3"/>
        <v>0</v>
      </c>
      <c r="P71" s="278"/>
    </row>
    <row r="72" spans="2:16">
      <c r="C72" s="495">
        <f>IF(D12="","-",+C71+1)</f>
        <v>2072</v>
      </c>
      <c r="D72" s="508">
        <f>IF(F71+SUM(E$17:E71)=D$10,F71,D$10-SUM(E$17:E71))</f>
        <v>0</v>
      </c>
      <c r="E72" s="509">
        <f>IF(+I$14&lt;F71,I$14,D72)</f>
        <v>0</v>
      </c>
      <c r="F72" s="510">
        <f>+D72-E72</f>
        <v>0</v>
      </c>
      <c r="G72" s="523">
        <f>(D72+F72)/2*I$12+E72</f>
        <v>0</v>
      </c>
      <c r="H72" s="477">
        <f>+(D72+F72)/2*I$13+E72</f>
        <v>0</v>
      </c>
      <c r="I72" s="500">
        <f>H72-G72</f>
        <v>0</v>
      </c>
      <c r="J72" s="500"/>
      <c r="K72" s="512"/>
      <c r="L72" s="504">
        <f>IF(K72&lt;&gt;0,+G72-K72,0)</f>
        <v>0</v>
      </c>
      <c r="M72" s="512"/>
      <c r="N72" s="504">
        <f>IF(M72&lt;&gt;0,+H72-M72,0)</f>
        <v>0</v>
      </c>
      <c r="O72" s="504">
        <f>+N72-L72</f>
        <v>0</v>
      </c>
      <c r="P72" s="278"/>
    </row>
    <row r="73" spans="2:16" ht="13.5" thickBot="1">
      <c r="B73" s="145" t="str">
        <f>IF(D73=F71,"","IU")</f>
        <v/>
      </c>
      <c r="C73" s="524">
        <f>IF(D13="","-",+C72+1)</f>
        <v>2073</v>
      </c>
      <c r="D73" s="508">
        <f>IF(F72+SUM(E$17:E72)=D$10,F72,D$10-SUM(E$17:E72))</f>
        <v>0</v>
      </c>
      <c r="E73" s="526">
        <f>IF(+I$14&lt;F72,I$14,D73)</f>
        <v>0</v>
      </c>
      <c r="F73" s="527">
        <f>+D73-E73</f>
        <v>0</v>
      </c>
      <c r="G73" s="528">
        <f>(D73+F73)/2*I$12+E73</f>
        <v>0</v>
      </c>
      <c r="H73" s="458">
        <f>+(D73+F73)/2*I$13+E73</f>
        <v>0</v>
      </c>
      <c r="I73" s="529">
        <f>H73-G73</f>
        <v>0</v>
      </c>
      <c r="J73" s="500"/>
      <c r="K73" s="530"/>
      <c r="L73" s="531">
        <f>IF(K73&lt;&gt;0,+G73-K73,0)</f>
        <v>0</v>
      </c>
      <c r="M73" s="530"/>
      <c r="N73" s="531">
        <f>IF(M73&lt;&gt;0,+H73-M73,0)</f>
        <v>0</v>
      </c>
      <c r="O73" s="531">
        <f>+N73-L73</f>
        <v>0</v>
      </c>
      <c r="P73" s="278"/>
    </row>
    <row r="74" spans="2:16">
      <c r="C74" s="349" t="s">
        <v>75</v>
      </c>
      <c r="D74" s="294"/>
      <c r="E74" s="294">
        <f>SUM(E17:E73)</f>
        <v>9653726.0000000037</v>
      </c>
      <c r="F74" s="294"/>
      <c r="G74" s="294">
        <f>SUM(G17:G73)</f>
        <v>27974996.557663459</v>
      </c>
      <c r="H74" s="294">
        <f>SUM(H17:H73)</f>
        <v>27974996.557663459</v>
      </c>
      <c r="I74" s="294">
        <f>SUM(I17:I73)</f>
        <v>0</v>
      </c>
      <c r="J74" s="294"/>
      <c r="K74" s="294"/>
      <c r="L74" s="294"/>
      <c r="M74" s="294"/>
      <c r="N74" s="294"/>
      <c r="O74" s="278"/>
      <c r="P74" s="278"/>
    </row>
    <row r="75" spans="2:16">
      <c r="D75" s="292"/>
      <c r="E75" s="243"/>
      <c r="F75" s="243"/>
      <c r="G75" s="243"/>
      <c r="H75" s="325"/>
      <c r="I75" s="325"/>
      <c r="J75" s="294"/>
      <c r="K75" s="325"/>
      <c r="L75" s="325"/>
      <c r="M75" s="325"/>
      <c r="N75" s="325"/>
      <c r="O75" s="243"/>
      <c r="P75" s="243"/>
    </row>
    <row r="76" spans="2:16">
      <c r="C76" s="532" t="s">
        <v>95</v>
      </c>
      <c r="D76" s="292"/>
      <c r="E76" s="243"/>
      <c r="F76" s="243"/>
      <c r="G76" s="243"/>
      <c r="H76" s="325"/>
      <c r="I76" s="325"/>
      <c r="J76" s="294"/>
      <c r="K76" s="325"/>
      <c r="L76" s="325"/>
      <c r="M76" s="325"/>
      <c r="N76" s="325"/>
      <c r="O76" s="243"/>
      <c r="P76" s="243"/>
    </row>
    <row r="77" spans="2:16">
      <c r="C77" s="454" t="s">
        <v>76</v>
      </c>
      <c r="D77" s="292"/>
      <c r="E77" s="243"/>
      <c r="F77" s="243"/>
      <c r="G77" s="243"/>
      <c r="H77" s="325"/>
      <c r="I77" s="325"/>
      <c r="J77" s="294"/>
      <c r="K77" s="325"/>
      <c r="L77" s="325"/>
      <c r="M77" s="325"/>
      <c r="N77" s="325"/>
      <c r="O77" s="278"/>
      <c r="P77" s="278"/>
    </row>
    <row r="78" spans="2:16">
      <c r="C78" s="454" t="s">
        <v>77</v>
      </c>
      <c r="D78" s="349"/>
      <c r="E78" s="349"/>
      <c r="F78" s="349"/>
      <c r="G78" s="294"/>
      <c r="H78" s="294"/>
      <c r="I78" s="350"/>
      <c r="J78" s="350"/>
      <c r="K78" s="350"/>
      <c r="L78" s="350"/>
      <c r="M78" s="350"/>
      <c r="N78" s="350"/>
      <c r="O78" s="278"/>
      <c r="P78" s="278"/>
    </row>
    <row r="79" spans="2:16">
      <c r="C79" s="454"/>
      <c r="D79" s="349"/>
      <c r="E79" s="349"/>
      <c r="F79" s="349"/>
      <c r="G79" s="294"/>
      <c r="H79" s="294"/>
      <c r="I79" s="350"/>
      <c r="J79" s="350"/>
      <c r="K79" s="350"/>
      <c r="L79" s="350"/>
      <c r="M79" s="350"/>
      <c r="N79" s="350"/>
      <c r="O79" s="278"/>
      <c r="P79" s="243"/>
    </row>
    <row r="80" spans="2:16">
      <c r="B80" s="243"/>
      <c r="C80" s="248"/>
      <c r="D80" s="292"/>
      <c r="E80" s="243"/>
      <c r="F80" s="347"/>
      <c r="G80" s="243"/>
      <c r="H80" s="325"/>
      <c r="I80" s="243"/>
      <c r="J80" s="278"/>
      <c r="K80" s="243"/>
      <c r="L80" s="243"/>
      <c r="M80" s="243"/>
      <c r="N80" s="243"/>
      <c r="O80" s="243"/>
      <c r="P80" s="243"/>
    </row>
    <row r="81" spans="1:16" ht="18">
      <c r="B81" s="243"/>
      <c r="C81" s="535"/>
      <c r="D81" s="292"/>
      <c r="E81" s="243"/>
      <c r="F81" s="347"/>
      <c r="G81" s="243"/>
      <c r="H81" s="325"/>
      <c r="I81" s="243"/>
      <c r="J81" s="278"/>
      <c r="K81" s="243"/>
      <c r="L81" s="243"/>
      <c r="M81" s="243"/>
      <c r="N81" s="243"/>
      <c r="P81" s="536" t="s">
        <v>128</v>
      </c>
    </row>
    <row r="82" spans="1:16">
      <c r="B82" s="243"/>
      <c r="C82" s="248"/>
      <c r="D82" s="292"/>
      <c r="E82" s="243"/>
      <c r="F82" s="347"/>
      <c r="G82" s="243"/>
      <c r="H82" s="325"/>
      <c r="I82" s="243"/>
      <c r="J82" s="278"/>
      <c r="K82" s="243"/>
      <c r="L82" s="243"/>
      <c r="M82" s="243"/>
      <c r="N82" s="243"/>
      <c r="O82" s="243"/>
      <c r="P82" s="243"/>
    </row>
    <row r="83" spans="1:16">
      <c r="B83" s="243"/>
      <c r="C83" s="248"/>
      <c r="D83" s="292"/>
      <c r="E83" s="243"/>
      <c r="F83" s="347"/>
      <c r="G83" s="243"/>
      <c r="H83" s="325"/>
      <c r="I83" s="243"/>
      <c r="J83" s="278"/>
      <c r="K83" s="243"/>
      <c r="L83" s="243"/>
      <c r="M83" s="243"/>
      <c r="N83" s="243"/>
      <c r="O83" s="243"/>
      <c r="P83" s="243"/>
    </row>
    <row r="84" spans="1:16" ht="20.25">
      <c r="A84" s="437" t="s">
        <v>190</v>
      </c>
      <c r="B84" s="243"/>
      <c r="C84" s="248"/>
      <c r="D84" s="292"/>
      <c r="E84" s="243"/>
      <c r="F84" s="339"/>
      <c r="G84" s="339"/>
      <c r="H84" s="243"/>
      <c r="I84" s="325"/>
      <c r="K84" s="220"/>
      <c r="L84" s="438"/>
      <c r="M84" s="438"/>
      <c r="P84" s="438" t="str">
        <f ca="1">P1</f>
        <v>OKT Project 16 of 23</v>
      </c>
    </row>
    <row r="85" spans="1:16" ht="18">
      <c r="B85" s="243"/>
      <c r="C85" s="243"/>
      <c r="D85" s="292"/>
      <c r="E85" s="243"/>
      <c r="F85" s="243"/>
      <c r="G85" s="243"/>
      <c r="H85" s="243"/>
      <c r="I85" s="325"/>
      <c r="J85" s="243"/>
      <c r="K85" s="278"/>
      <c r="L85" s="243"/>
      <c r="M85" s="243"/>
      <c r="P85" s="441" t="s">
        <v>132</v>
      </c>
    </row>
    <row r="86" spans="1:16" ht="18.75" thickBot="1">
      <c r="B86" s="233" t="s">
        <v>42</v>
      </c>
      <c r="C86" s="537" t="s">
        <v>81</v>
      </c>
      <c r="D86" s="292"/>
      <c r="E86" s="243"/>
      <c r="F86" s="243"/>
      <c r="G86" s="243"/>
      <c r="H86" s="243"/>
      <c r="I86" s="325"/>
      <c r="J86" s="325"/>
      <c r="K86" s="294"/>
      <c r="L86" s="325"/>
      <c r="M86" s="325"/>
      <c r="N86" s="325"/>
      <c r="O86" s="294"/>
      <c r="P86" s="243"/>
    </row>
    <row r="87" spans="1:16" ht="15.75" thickBot="1">
      <c r="C87" s="304"/>
      <c r="D87" s="292"/>
      <c r="E87" s="243"/>
      <c r="F87" s="243"/>
      <c r="G87" s="243"/>
      <c r="H87" s="243"/>
      <c r="I87" s="325"/>
      <c r="J87" s="325"/>
      <c r="K87" s="294"/>
      <c r="L87" s="538">
        <f>+J93</f>
        <v>2020</v>
      </c>
      <c r="M87" s="539" t="s">
        <v>9</v>
      </c>
      <c r="N87" s="540" t="s">
        <v>134</v>
      </c>
      <c r="O87" s="541" t="s">
        <v>11</v>
      </c>
      <c r="P87" s="243"/>
    </row>
    <row r="88" spans="1:16" ht="15">
      <c r="C88" s="232" t="s">
        <v>44</v>
      </c>
      <c r="D88" s="292"/>
      <c r="E88" s="243"/>
      <c r="F88" s="243"/>
      <c r="G88" s="243"/>
      <c r="H88" s="444"/>
      <c r="I88" s="243" t="s">
        <v>45</v>
      </c>
      <c r="J88" s="243"/>
      <c r="K88" s="542"/>
      <c r="L88" s="543" t="s">
        <v>253</v>
      </c>
      <c r="M88" s="544">
        <f>IF(J93&lt;D11,0,VLOOKUP(J93,C17:O73,9))</f>
        <v>1227854.794149773</v>
      </c>
      <c r="N88" s="544">
        <f>IF(J93&lt;D11,0,VLOOKUP(J93,C17:O73,11))</f>
        <v>1227854.794149773</v>
      </c>
      <c r="O88" s="545">
        <f>+N88-M88</f>
        <v>0</v>
      </c>
      <c r="P88" s="243"/>
    </row>
    <row r="89" spans="1:16" ht="15.75">
      <c r="C89" s="235"/>
      <c r="D89" s="292"/>
      <c r="E89" s="243"/>
      <c r="F89" s="243"/>
      <c r="G89" s="243"/>
      <c r="H89" s="243"/>
      <c r="I89" s="449"/>
      <c r="J89" s="449"/>
      <c r="K89" s="546"/>
      <c r="L89" s="547" t="s">
        <v>254</v>
      </c>
      <c r="M89" s="548">
        <f>IF(J93&lt;D11,0,VLOOKUP(J93,C100:P155,6))</f>
        <v>1287789.8668546416</v>
      </c>
      <c r="N89" s="548">
        <f>IF(J93&lt;D11,0,VLOOKUP(J93,C100:P155,7))</f>
        <v>1287789.8668546416</v>
      </c>
      <c r="O89" s="549">
        <f>+N89-M89</f>
        <v>0</v>
      </c>
      <c r="P89" s="243"/>
    </row>
    <row r="90" spans="1:16" ht="13.5" thickBot="1">
      <c r="C90" s="454" t="s">
        <v>82</v>
      </c>
      <c r="D90" s="550" t="str">
        <f>+D7</f>
        <v>Carnegie South-Southwestern 123 kv line rebuild</v>
      </c>
      <c r="E90" s="243"/>
      <c r="F90" s="243"/>
      <c r="G90" s="243"/>
      <c r="H90" s="243"/>
      <c r="I90" s="325"/>
      <c r="J90" s="325"/>
      <c r="K90" s="551"/>
      <c r="L90" s="552" t="s">
        <v>135</v>
      </c>
      <c r="M90" s="553">
        <f>+M89-M88</f>
        <v>59935.072704868624</v>
      </c>
      <c r="N90" s="553">
        <f>+N89-N88</f>
        <v>59935.072704868624</v>
      </c>
      <c r="O90" s="554">
        <f>+O89-O88</f>
        <v>0</v>
      </c>
      <c r="P90" s="243"/>
    </row>
    <row r="91" spans="1:16" ht="13.5" thickBot="1">
      <c r="C91" s="532"/>
      <c r="D91" s="555" t="str">
        <f>IF(D8="","",D8)</f>
        <v/>
      </c>
      <c r="E91" s="347"/>
      <c r="F91" s="347"/>
      <c r="G91" s="347"/>
      <c r="H91" s="461"/>
      <c r="I91" s="325"/>
      <c r="J91" s="325"/>
      <c r="K91" s="294"/>
      <c r="L91" s="325"/>
      <c r="M91" s="325"/>
      <c r="N91" s="325"/>
      <c r="O91" s="294"/>
      <c r="P91" s="243"/>
    </row>
    <row r="92" spans="1:16" ht="13.5" thickBot="1">
      <c r="A92" s="152"/>
      <c r="C92" s="556" t="s">
        <v>83</v>
      </c>
      <c r="D92" s="557" t="str">
        <f>+D9</f>
        <v>TP 2014207</v>
      </c>
      <c r="E92" s="558"/>
      <c r="F92" s="558"/>
      <c r="G92" s="558"/>
      <c r="H92" s="558"/>
      <c r="I92" s="558"/>
      <c r="J92" s="558"/>
      <c r="K92" s="560"/>
      <c r="P92" s="468"/>
    </row>
    <row r="93" spans="1:16">
      <c r="C93" s="472" t="s">
        <v>49</v>
      </c>
      <c r="D93" s="470">
        <v>9662740</v>
      </c>
      <c r="E93" s="248" t="s">
        <v>84</v>
      </c>
      <c r="H93" s="408"/>
      <c r="I93" s="408"/>
      <c r="J93" s="471">
        <f>+'OKT.WS.G.BPU.ATRR.True-up'!M16</f>
        <v>2020</v>
      </c>
      <c r="K93" s="467"/>
      <c r="L93" s="294" t="s">
        <v>85</v>
      </c>
      <c r="P93" s="278"/>
    </row>
    <row r="94" spans="1:16">
      <c r="C94" s="472" t="s">
        <v>52</v>
      </c>
      <c r="D94" s="473">
        <f>IF(D11=I10,"",D11)</f>
        <v>2017</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row>
    <row r="95" spans="1:16">
      <c r="C95" s="472" t="s">
        <v>54</v>
      </c>
      <c r="D95" s="470">
        <f>IF(D11=I10,"",D12)</f>
        <v>7</v>
      </c>
      <c r="E95" s="472" t="s">
        <v>55</v>
      </c>
      <c r="F95" s="408"/>
      <c r="G95" s="408"/>
      <c r="J95" s="476">
        <f>'OKT.WS.G.BPU.ATRR.True-up'!$F$81</f>
        <v>0.11475877389767174</v>
      </c>
      <c r="K95" s="413"/>
      <c r="L95" s="145" t="s">
        <v>86</v>
      </c>
      <c r="P95" s="278"/>
    </row>
    <row r="96" spans="1:16">
      <c r="C96" s="472" t="s">
        <v>57</v>
      </c>
      <c r="D96" s="474">
        <f>'OKT.WS.G.BPU.ATRR.True-up'!F$93</f>
        <v>21</v>
      </c>
      <c r="E96" s="472" t="s">
        <v>58</v>
      </c>
      <c r="F96" s="408"/>
      <c r="G96" s="408"/>
      <c r="J96" s="476">
        <f>IF(H88="",J95,'OKT.WS.G.BPU.ATRR.True-up'!$F$80)</f>
        <v>0.11475877389767174</v>
      </c>
      <c r="K96" s="291"/>
      <c r="L96" s="294" t="s">
        <v>59</v>
      </c>
      <c r="M96" s="291"/>
      <c r="N96" s="291"/>
      <c r="O96" s="291"/>
      <c r="P96" s="278"/>
    </row>
    <row r="97" spans="1:16" ht="13.5" thickBot="1">
      <c r="C97" s="472" t="s">
        <v>60</v>
      </c>
      <c r="D97" s="473" t="str">
        <f>+D14</f>
        <v>No</v>
      </c>
      <c r="E97" s="563" t="s">
        <v>62</v>
      </c>
      <c r="F97" s="564"/>
      <c r="G97" s="564"/>
      <c r="H97" s="565"/>
      <c r="I97" s="565"/>
      <c r="J97" s="458">
        <f>IF(D93=0,0,D93/D96)</f>
        <v>460130.47619047621</v>
      </c>
      <c r="K97" s="294"/>
      <c r="L97" s="294"/>
      <c r="M97" s="294"/>
      <c r="N97" s="294"/>
      <c r="O97" s="294"/>
      <c r="P97" s="278"/>
    </row>
    <row r="98" spans="1:16"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row>
    <row r="99" spans="1:16"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row>
    <row r="100" spans="1:16">
      <c r="B100" s="145" t="str">
        <f t="shared" ref="B100:B155" si="17">IF(D100=F99,"","IU")</f>
        <v>IU</v>
      </c>
      <c r="C100" s="495">
        <f>IF(D94= "","-",D94)</f>
        <v>2017</v>
      </c>
      <c r="D100" s="496">
        <v>0</v>
      </c>
      <c r="E100" s="498">
        <v>99561.5625</v>
      </c>
      <c r="F100" s="505">
        <v>9458348.4375</v>
      </c>
      <c r="G100" s="505">
        <v>4729174.21875</v>
      </c>
      <c r="H100" s="498">
        <v>654463.30646394705</v>
      </c>
      <c r="I100" s="499">
        <v>654463.30646394705</v>
      </c>
      <c r="J100" s="504">
        <f t="shared" ref="J100:J131" si="18">+I100-H100</f>
        <v>0</v>
      </c>
      <c r="K100" s="504"/>
      <c r="L100" s="506">
        <f>+H100</f>
        <v>654463.30646394705</v>
      </c>
      <c r="M100" s="504">
        <f t="shared" ref="M100:M131" si="19">IF(L100&lt;&gt;0,+H100-L100,0)</f>
        <v>0</v>
      </c>
      <c r="N100" s="506">
        <f>+I100</f>
        <v>654463.30646394705</v>
      </c>
      <c r="O100" s="586">
        <f t="shared" ref="O100:O131" si="20">IF(N100&lt;&gt;0,+I100-N100,0)</f>
        <v>0</v>
      </c>
      <c r="P100" s="504">
        <f t="shared" ref="P100:P131" si="21">+O100-M100</f>
        <v>0</v>
      </c>
    </row>
    <row r="101" spans="1:16">
      <c r="B101" s="145" t="str">
        <f t="shared" si="17"/>
        <v/>
      </c>
      <c r="C101" s="495">
        <f>IF(D94="","-",+C100+1)</f>
        <v>2018</v>
      </c>
      <c r="D101" s="496">
        <v>9458348.4375</v>
      </c>
      <c r="E101" s="498">
        <v>265497.5</v>
      </c>
      <c r="F101" s="505">
        <v>9192850.9375</v>
      </c>
      <c r="G101" s="505">
        <v>9325599.6875</v>
      </c>
      <c r="H101" s="498">
        <v>1249930.642330141</v>
      </c>
      <c r="I101" s="499">
        <v>1249930.642330141</v>
      </c>
      <c r="J101" s="504">
        <f t="shared" si="18"/>
        <v>0</v>
      </c>
      <c r="K101" s="504"/>
      <c r="L101" s="506">
        <f>H101</f>
        <v>1249930.642330141</v>
      </c>
      <c r="M101" s="504">
        <f>IF(L101&lt;&gt;0,+H101-L101,0)</f>
        <v>0</v>
      </c>
      <c r="N101" s="506">
        <f>I101</f>
        <v>1249930.642330141</v>
      </c>
      <c r="O101" s="504">
        <f>IF(N101&lt;&gt;0,+I101-N101,0)</f>
        <v>0</v>
      </c>
      <c r="P101" s="504">
        <f>+O101-M101</f>
        <v>0</v>
      </c>
    </row>
    <row r="102" spans="1:16">
      <c r="B102" s="145" t="str">
        <f t="shared" si="17"/>
        <v>IU</v>
      </c>
      <c r="C102" s="495">
        <f>IF(D94="","-",+C101+1)</f>
        <v>2019</v>
      </c>
      <c r="D102" s="496">
        <v>9224210.9375</v>
      </c>
      <c r="E102" s="498">
        <v>266368.61111111112</v>
      </c>
      <c r="F102" s="505">
        <v>8957842.3263888881</v>
      </c>
      <c r="G102" s="505">
        <v>9091026.631944444</v>
      </c>
      <c r="H102" s="498">
        <v>1226039.6472041525</v>
      </c>
      <c r="I102" s="499">
        <v>1226039.6472041525</v>
      </c>
      <c r="J102" s="504">
        <f t="shared" si="18"/>
        <v>0</v>
      </c>
      <c r="K102" s="504"/>
      <c r="L102" s="506">
        <f>H102</f>
        <v>1226039.6472041525</v>
      </c>
      <c r="M102" s="504">
        <f>IF(L102&lt;&gt;0,+H102-L102,0)</f>
        <v>0</v>
      </c>
      <c r="N102" s="506">
        <f>I102</f>
        <v>1226039.6472041525</v>
      </c>
      <c r="O102" s="504">
        <f t="shared" si="20"/>
        <v>0</v>
      </c>
      <c r="P102" s="504">
        <f t="shared" si="21"/>
        <v>0</v>
      </c>
    </row>
    <row r="103" spans="1:16">
      <c r="B103" s="145" t="str">
        <f t="shared" si="17"/>
        <v>IU</v>
      </c>
      <c r="C103" s="495">
        <f>IF(D94="","-",+C102+1)</f>
        <v>2020</v>
      </c>
      <c r="D103" s="496">
        <v>9031312.3263888881</v>
      </c>
      <c r="E103" s="498">
        <v>345097.85714285716</v>
      </c>
      <c r="F103" s="505">
        <v>8686214.4692460317</v>
      </c>
      <c r="G103" s="505">
        <v>8858763.397817459</v>
      </c>
      <c r="H103" s="498">
        <v>1287789.8668546416</v>
      </c>
      <c r="I103" s="499">
        <v>1287789.8668546416</v>
      </c>
      <c r="J103" s="504">
        <f t="shared" si="18"/>
        <v>0</v>
      </c>
      <c r="K103" s="504"/>
      <c r="L103" s="506">
        <f>H103</f>
        <v>1287789.8668546416</v>
      </c>
      <c r="M103" s="504">
        <f>IF(L103&lt;&gt;0,+H103-L103,0)</f>
        <v>0</v>
      </c>
      <c r="N103" s="506">
        <f>I103</f>
        <v>1287789.8668546416</v>
      </c>
      <c r="O103" s="504">
        <f t="shared" si="20"/>
        <v>0</v>
      </c>
      <c r="P103" s="504">
        <f t="shared" si="21"/>
        <v>0</v>
      </c>
    </row>
    <row r="104" spans="1:16">
      <c r="B104" s="145" t="str">
        <f t="shared" si="17"/>
        <v/>
      </c>
      <c r="C104" s="495">
        <f>IF(D94="","-",+C103+1)</f>
        <v>2021</v>
      </c>
      <c r="D104" s="349">
        <f>IF(F103+SUM(E$100:E103)=D$93,F103,D$93-SUM(E$100:E103))</f>
        <v>8686214.4692460317</v>
      </c>
      <c r="E104" s="509">
        <f t="shared" ref="E104:E132" si="22">IF(+J$97&lt;F103,J$97,D104)</f>
        <v>460130.47619047621</v>
      </c>
      <c r="F104" s="510">
        <f t="shared" ref="F104:F131" si="23">+D104-E104</f>
        <v>8226083.993055556</v>
      </c>
      <c r="G104" s="510">
        <f t="shared" ref="G104:G131" si="24">+(F104+D104)/2</f>
        <v>8456149.2311507948</v>
      </c>
      <c r="H104" s="627">
        <f t="shared" ref="H104:H155" si="25">+J$95*G104+E104</f>
        <v>1430547.7938530808</v>
      </c>
      <c r="I104" s="628">
        <f t="shared" ref="I104:I155" si="26">+J$96*G104+E104</f>
        <v>1430547.7938530808</v>
      </c>
      <c r="J104" s="504">
        <f t="shared" si="18"/>
        <v>0</v>
      </c>
      <c r="K104" s="504"/>
      <c r="L104" s="512"/>
      <c r="M104" s="504">
        <f t="shared" si="19"/>
        <v>0</v>
      </c>
      <c r="N104" s="512"/>
      <c r="O104" s="504">
        <f t="shared" si="20"/>
        <v>0</v>
      </c>
      <c r="P104" s="504">
        <f t="shared" si="21"/>
        <v>0</v>
      </c>
    </row>
    <row r="105" spans="1:16">
      <c r="B105" s="145" t="str">
        <f t="shared" si="17"/>
        <v/>
      </c>
      <c r="C105" s="495">
        <f>IF(D94="","-",+C104+1)</f>
        <v>2022</v>
      </c>
      <c r="D105" s="349">
        <f>IF(F104+SUM(E$100:E104)=D$93,F104,D$93-SUM(E$100:E104))</f>
        <v>8226083.993055556</v>
      </c>
      <c r="E105" s="509">
        <f t="shared" si="22"/>
        <v>460130.47619047621</v>
      </c>
      <c r="F105" s="510">
        <f t="shared" si="23"/>
        <v>7765953.5168650802</v>
      </c>
      <c r="G105" s="510">
        <f t="shared" si="24"/>
        <v>7996018.7549603181</v>
      </c>
      <c r="H105" s="627">
        <f t="shared" si="25"/>
        <v>1377743.78457251</v>
      </c>
      <c r="I105" s="628">
        <f t="shared" si="26"/>
        <v>1377743.78457251</v>
      </c>
      <c r="J105" s="504">
        <f t="shared" si="18"/>
        <v>0</v>
      </c>
      <c r="K105" s="504"/>
      <c r="L105" s="512"/>
      <c r="M105" s="504">
        <f t="shared" si="19"/>
        <v>0</v>
      </c>
      <c r="N105" s="512"/>
      <c r="O105" s="504">
        <f t="shared" si="20"/>
        <v>0</v>
      </c>
      <c r="P105" s="504">
        <f t="shared" si="21"/>
        <v>0</v>
      </c>
    </row>
    <row r="106" spans="1:16">
      <c r="B106" s="145" t="str">
        <f t="shared" si="17"/>
        <v/>
      </c>
      <c r="C106" s="495">
        <f>IF(D94="","-",+C105+1)</f>
        <v>2023</v>
      </c>
      <c r="D106" s="349">
        <f>IF(F105+SUM(E$100:E105)=D$93,F105,D$93-SUM(E$100:E105))</f>
        <v>7765953.5168650802</v>
      </c>
      <c r="E106" s="509">
        <f t="shared" si="22"/>
        <v>460130.47619047621</v>
      </c>
      <c r="F106" s="510">
        <f t="shared" si="23"/>
        <v>7305823.0406746045</v>
      </c>
      <c r="G106" s="510">
        <f t="shared" si="24"/>
        <v>7535888.2787698423</v>
      </c>
      <c r="H106" s="627">
        <f t="shared" si="25"/>
        <v>1324939.7752919393</v>
      </c>
      <c r="I106" s="628">
        <f t="shared" si="26"/>
        <v>1324939.7752919393</v>
      </c>
      <c r="J106" s="504">
        <f t="shared" si="18"/>
        <v>0</v>
      </c>
      <c r="K106" s="504"/>
      <c r="L106" s="512"/>
      <c r="M106" s="504">
        <f t="shared" si="19"/>
        <v>0</v>
      </c>
      <c r="N106" s="512"/>
      <c r="O106" s="504">
        <f t="shared" si="20"/>
        <v>0</v>
      </c>
      <c r="P106" s="504">
        <f t="shared" si="21"/>
        <v>0</v>
      </c>
    </row>
    <row r="107" spans="1:16">
      <c r="B107" s="145" t="str">
        <f t="shared" si="17"/>
        <v/>
      </c>
      <c r="C107" s="495">
        <f>IF(D94="","-",+C106+1)</f>
        <v>2024</v>
      </c>
      <c r="D107" s="349">
        <f>IF(F106+SUM(E$100:E106)=D$93,F106,D$93-SUM(E$100:E106))</f>
        <v>7305823.0406746045</v>
      </c>
      <c r="E107" s="509">
        <f t="shared" si="22"/>
        <v>460130.47619047621</v>
      </c>
      <c r="F107" s="510">
        <f t="shared" si="23"/>
        <v>6845692.5644841287</v>
      </c>
      <c r="G107" s="510">
        <f t="shared" si="24"/>
        <v>7075757.8025793666</v>
      </c>
      <c r="H107" s="627">
        <f t="shared" si="25"/>
        <v>1272135.7660113685</v>
      </c>
      <c r="I107" s="628">
        <f t="shared" si="26"/>
        <v>1272135.7660113685</v>
      </c>
      <c r="J107" s="504">
        <f t="shared" si="18"/>
        <v>0</v>
      </c>
      <c r="K107" s="504"/>
      <c r="L107" s="512"/>
      <c r="M107" s="504">
        <f t="shared" si="19"/>
        <v>0</v>
      </c>
      <c r="N107" s="512"/>
      <c r="O107" s="504">
        <f t="shared" si="20"/>
        <v>0</v>
      </c>
      <c r="P107" s="504">
        <f t="shared" si="21"/>
        <v>0</v>
      </c>
    </row>
    <row r="108" spans="1:16">
      <c r="B108" s="145" t="str">
        <f t="shared" si="17"/>
        <v/>
      </c>
      <c r="C108" s="495">
        <f>IF(D94="","-",+C107+1)</f>
        <v>2025</v>
      </c>
      <c r="D108" s="349">
        <f>IF(F107+SUM(E$100:E107)=D$93,F107,D$93-SUM(E$100:E107))</f>
        <v>6845692.5644841287</v>
      </c>
      <c r="E108" s="509">
        <f t="shared" si="22"/>
        <v>460130.47619047621</v>
      </c>
      <c r="F108" s="510">
        <f t="shared" si="23"/>
        <v>6385562.088293653</v>
      </c>
      <c r="G108" s="510">
        <f t="shared" si="24"/>
        <v>6615627.3263888909</v>
      </c>
      <c r="H108" s="627">
        <f t="shared" si="25"/>
        <v>1219331.7567307975</v>
      </c>
      <c r="I108" s="628">
        <f t="shared" si="26"/>
        <v>1219331.7567307975</v>
      </c>
      <c r="J108" s="504">
        <f t="shared" si="18"/>
        <v>0</v>
      </c>
      <c r="K108" s="504"/>
      <c r="L108" s="512"/>
      <c r="M108" s="504">
        <f t="shared" si="19"/>
        <v>0</v>
      </c>
      <c r="N108" s="512"/>
      <c r="O108" s="504">
        <f t="shared" si="20"/>
        <v>0</v>
      </c>
      <c r="P108" s="504">
        <f t="shared" si="21"/>
        <v>0</v>
      </c>
    </row>
    <row r="109" spans="1:16">
      <c r="B109" s="145" t="str">
        <f t="shared" si="17"/>
        <v/>
      </c>
      <c r="C109" s="495">
        <f>IF(D94="","-",+C108+1)</f>
        <v>2026</v>
      </c>
      <c r="D109" s="349">
        <f>IF(F108+SUM(E$100:E108)=D$93,F108,D$93-SUM(E$100:E108))</f>
        <v>6385562.088293653</v>
      </c>
      <c r="E109" s="509">
        <f t="shared" si="22"/>
        <v>460130.47619047621</v>
      </c>
      <c r="F109" s="510">
        <f t="shared" si="23"/>
        <v>5925431.6121031772</v>
      </c>
      <c r="G109" s="510">
        <f t="shared" si="24"/>
        <v>6155496.8501984151</v>
      </c>
      <c r="H109" s="627">
        <f t="shared" si="25"/>
        <v>1166527.7474502267</v>
      </c>
      <c r="I109" s="628">
        <f t="shared" si="26"/>
        <v>1166527.7474502267</v>
      </c>
      <c r="J109" s="504">
        <f t="shared" si="18"/>
        <v>0</v>
      </c>
      <c r="K109" s="504"/>
      <c r="L109" s="512"/>
      <c r="M109" s="504">
        <f t="shared" si="19"/>
        <v>0</v>
      </c>
      <c r="N109" s="512"/>
      <c r="O109" s="504">
        <f t="shared" si="20"/>
        <v>0</v>
      </c>
      <c r="P109" s="504">
        <f t="shared" si="21"/>
        <v>0</v>
      </c>
    </row>
    <row r="110" spans="1:16">
      <c r="B110" s="145" t="str">
        <f t="shared" si="17"/>
        <v/>
      </c>
      <c r="C110" s="495">
        <f>IF(D94="","-",+C109+1)</f>
        <v>2027</v>
      </c>
      <c r="D110" s="349">
        <f>IF(F109+SUM(E$100:E109)=D$93,F109,D$93-SUM(E$100:E109))</f>
        <v>5925431.6121031772</v>
      </c>
      <c r="E110" s="509">
        <f t="shared" si="22"/>
        <v>460130.47619047621</v>
      </c>
      <c r="F110" s="510">
        <f t="shared" si="23"/>
        <v>5465301.1359127015</v>
      </c>
      <c r="G110" s="510">
        <f t="shared" si="24"/>
        <v>5695366.3740079394</v>
      </c>
      <c r="H110" s="627">
        <f t="shared" si="25"/>
        <v>1113723.7381696559</v>
      </c>
      <c r="I110" s="628">
        <f t="shared" si="26"/>
        <v>1113723.7381696559</v>
      </c>
      <c r="J110" s="504">
        <f t="shared" si="18"/>
        <v>0</v>
      </c>
      <c r="K110" s="504"/>
      <c r="L110" s="512"/>
      <c r="M110" s="504">
        <f t="shared" si="19"/>
        <v>0</v>
      </c>
      <c r="N110" s="512"/>
      <c r="O110" s="504">
        <f t="shared" si="20"/>
        <v>0</v>
      </c>
      <c r="P110" s="504">
        <f t="shared" si="21"/>
        <v>0</v>
      </c>
    </row>
    <row r="111" spans="1:16">
      <c r="B111" s="145" t="str">
        <f t="shared" si="17"/>
        <v/>
      </c>
      <c r="C111" s="495">
        <f>IF(D94="","-",+C110+1)</f>
        <v>2028</v>
      </c>
      <c r="D111" s="349">
        <f>IF(F110+SUM(E$100:E110)=D$93,F110,D$93-SUM(E$100:E110))</f>
        <v>5465301.1359127015</v>
      </c>
      <c r="E111" s="509">
        <f t="shared" si="22"/>
        <v>460130.47619047621</v>
      </c>
      <c r="F111" s="510">
        <f t="shared" si="23"/>
        <v>5005170.6597222257</v>
      </c>
      <c r="G111" s="510">
        <f t="shared" si="24"/>
        <v>5235235.8978174636</v>
      </c>
      <c r="H111" s="627">
        <f t="shared" si="25"/>
        <v>1060919.7288890849</v>
      </c>
      <c r="I111" s="628">
        <f t="shared" si="26"/>
        <v>1060919.7288890849</v>
      </c>
      <c r="J111" s="504">
        <f t="shared" si="18"/>
        <v>0</v>
      </c>
      <c r="K111" s="504"/>
      <c r="L111" s="512"/>
      <c r="M111" s="504">
        <f t="shared" si="19"/>
        <v>0</v>
      </c>
      <c r="N111" s="512"/>
      <c r="O111" s="504">
        <f t="shared" si="20"/>
        <v>0</v>
      </c>
      <c r="P111" s="504">
        <f t="shared" si="21"/>
        <v>0</v>
      </c>
    </row>
    <row r="112" spans="1:16">
      <c r="B112" s="145" t="str">
        <f t="shared" si="17"/>
        <v/>
      </c>
      <c r="C112" s="495">
        <f>IF(D94="","-",+C111+1)</f>
        <v>2029</v>
      </c>
      <c r="D112" s="349">
        <f>IF(F111+SUM(E$100:E111)=D$93,F111,D$93-SUM(E$100:E111))</f>
        <v>5005170.6597222257</v>
      </c>
      <c r="E112" s="509">
        <f t="shared" si="22"/>
        <v>460130.47619047621</v>
      </c>
      <c r="F112" s="510">
        <f t="shared" si="23"/>
        <v>4545040.18353175</v>
      </c>
      <c r="G112" s="510">
        <f t="shared" si="24"/>
        <v>4775105.4216269879</v>
      </c>
      <c r="H112" s="627">
        <f t="shared" si="25"/>
        <v>1008115.7196085142</v>
      </c>
      <c r="I112" s="628">
        <f t="shared" si="26"/>
        <v>1008115.7196085142</v>
      </c>
      <c r="J112" s="504">
        <f t="shared" si="18"/>
        <v>0</v>
      </c>
      <c r="K112" s="504"/>
      <c r="L112" s="512"/>
      <c r="M112" s="504">
        <f t="shared" si="19"/>
        <v>0</v>
      </c>
      <c r="N112" s="512"/>
      <c r="O112" s="504">
        <f t="shared" si="20"/>
        <v>0</v>
      </c>
      <c r="P112" s="504">
        <f t="shared" si="21"/>
        <v>0</v>
      </c>
    </row>
    <row r="113" spans="2:16">
      <c r="B113" s="145" t="str">
        <f t="shared" si="17"/>
        <v/>
      </c>
      <c r="C113" s="495">
        <f>IF(D94="","-",+C112+1)</f>
        <v>2030</v>
      </c>
      <c r="D113" s="349">
        <f>IF(F112+SUM(E$100:E112)=D$93,F112,D$93-SUM(E$100:E112))</f>
        <v>4545040.18353175</v>
      </c>
      <c r="E113" s="509">
        <f t="shared" si="22"/>
        <v>460130.47619047621</v>
      </c>
      <c r="F113" s="510">
        <f t="shared" si="23"/>
        <v>4084909.7073412738</v>
      </c>
      <c r="G113" s="510">
        <f t="shared" si="24"/>
        <v>4314974.9454365121</v>
      </c>
      <c r="H113" s="627">
        <f t="shared" si="25"/>
        <v>955311.71032794332</v>
      </c>
      <c r="I113" s="628">
        <f t="shared" si="26"/>
        <v>955311.71032794332</v>
      </c>
      <c r="J113" s="504">
        <f t="shared" si="18"/>
        <v>0</v>
      </c>
      <c r="K113" s="504"/>
      <c r="L113" s="512"/>
      <c r="M113" s="504">
        <f t="shared" si="19"/>
        <v>0</v>
      </c>
      <c r="N113" s="512"/>
      <c r="O113" s="504">
        <f t="shared" si="20"/>
        <v>0</v>
      </c>
      <c r="P113" s="504">
        <f t="shared" si="21"/>
        <v>0</v>
      </c>
    </row>
    <row r="114" spans="2:16">
      <c r="B114" s="145" t="str">
        <f t="shared" si="17"/>
        <v/>
      </c>
      <c r="C114" s="495">
        <f>IF(D94="","-",+C113+1)</f>
        <v>2031</v>
      </c>
      <c r="D114" s="349">
        <f>IF(F113+SUM(E$100:E113)=D$93,F113,D$93-SUM(E$100:E113))</f>
        <v>4084909.7073412738</v>
      </c>
      <c r="E114" s="509">
        <f t="shared" si="22"/>
        <v>460130.47619047621</v>
      </c>
      <c r="F114" s="510">
        <f t="shared" si="23"/>
        <v>3624779.2311507976</v>
      </c>
      <c r="G114" s="510">
        <f t="shared" si="24"/>
        <v>3854844.4692460354</v>
      </c>
      <c r="H114" s="627">
        <f t="shared" si="25"/>
        <v>902507.70104737242</v>
      </c>
      <c r="I114" s="628">
        <f t="shared" si="26"/>
        <v>902507.70104737242</v>
      </c>
      <c r="J114" s="504">
        <f t="shared" si="18"/>
        <v>0</v>
      </c>
      <c r="K114" s="504"/>
      <c r="L114" s="512"/>
      <c r="M114" s="504">
        <f t="shared" si="19"/>
        <v>0</v>
      </c>
      <c r="N114" s="512"/>
      <c r="O114" s="504">
        <f t="shared" si="20"/>
        <v>0</v>
      </c>
      <c r="P114" s="504">
        <f t="shared" si="21"/>
        <v>0</v>
      </c>
    </row>
    <row r="115" spans="2:16">
      <c r="B115" s="145" t="str">
        <f t="shared" si="17"/>
        <v/>
      </c>
      <c r="C115" s="495">
        <f>IF(D94="","-",+C114+1)</f>
        <v>2032</v>
      </c>
      <c r="D115" s="349">
        <f>IF(F114+SUM(E$100:E114)=D$93,F114,D$93-SUM(E$100:E114))</f>
        <v>3624779.2311507976</v>
      </c>
      <c r="E115" s="509">
        <f t="shared" si="22"/>
        <v>460130.47619047621</v>
      </c>
      <c r="F115" s="510">
        <f t="shared" si="23"/>
        <v>3164648.7549603214</v>
      </c>
      <c r="G115" s="510">
        <f t="shared" si="24"/>
        <v>3394713.9930555597</v>
      </c>
      <c r="H115" s="627">
        <f t="shared" si="25"/>
        <v>849703.69176680152</v>
      </c>
      <c r="I115" s="628">
        <f t="shared" si="26"/>
        <v>849703.69176680152</v>
      </c>
      <c r="J115" s="504">
        <f t="shared" si="18"/>
        <v>0</v>
      </c>
      <c r="K115" s="504"/>
      <c r="L115" s="512"/>
      <c r="M115" s="504">
        <f t="shared" si="19"/>
        <v>0</v>
      </c>
      <c r="N115" s="512"/>
      <c r="O115" s="504">
        <f t="shared" si="20"/>
        <v>0</v>
      </c>
      <c r="P115" s="504">
        <f t="shared" si="21"/>
        <v>0</v>
      </c>
    </row>
    <row r="116" spans="2:16">
      <c r="B116" s="145" t="str">
        <f t="shared" si="17"/>
        <v/>
      </c>
      <c r="C116" s="495">
        <f>IF(D94="","-",+C115+1)</f>
        <v>2033</v>
      </c>
      <c r="D116" s="349">
        <f>IF(F115+SUM(E$100:E115)=D$93,F115,D$93-SUM(E$100:E115))</f>
        <v>3164648.7549603214</v>
      </c>
      <c r="E116" s="509">
        <f t="shared" si="22"/>
        <v>460130.47619047621</v>
      </c>
      <c r="F116" s="510">
        <f t="shared" si="23"/>
        <v>2704518.2787698451</v>
      </c>
      <c r="G116" s="510">
        <f t="shared" si="24"/>
        <v>2934583.516865083</v>
      </c>
      <c r="H116" s="627">
        <f t="shared" si="25"/>
        <v>796899.68248623062</v>
      </c>
      <c r="I116" s="628">
        <f t="shared" si="26"/>
        <v>796899.68248623062</v>
      </c>
      <c r="J116" s="504">
        <f t="shared" si="18"/>
        <v>0</v>
      </c>
      <c r="K116" s="504"/>
      <c r="L116" s="512"/>
      <c r="M116" s="504">
        <f t="shared" si="19"/>
        <v>0</v>
      </c>
      <c r="N116" s="512"/>
      <c r="O116" s="504">
        <f t="shared" si="20"/>
        <v>0</v>
      </c>
      <c r="P116" s="504">
        <f t="shared" si="21"/>
        <v>0</v>
      </c>
    </row>
    <row r="117" spans="2:16">
      <c r="B117" s="145" t="str">
        <f t="shared" si="17"/>
        <v/>
      </c>
      <c r="C117" s="495">
        <f>IF(D94="","-",+C116+1)</f>
        <v>2034</v>
      </c>
      <c r="D117" s="349">
        <f>IF(F116+SUM(E$100:E116)=D$93,F116,D$93-SUM(E$100:E116))</f>
        <v>2704518.2787698451</v>
      </c>
      <c r="E117" s="509">
        <f t="shared" si="22"/>
        <v>460130.47619047621</v>
      </c>
      <c r="F117" s="510">
        <f t="shared" si="23"/>
        <v>2244387.8025793689</v>
      </c>
      <c r="G117" s="510">
        <f t="shared" si="24"/>
        <v>2474453.0406746073</v>
      </c>
      <c r="H117" s="627">
        <f t="shared" si="25"/>
        <v>744095.67320565972</v>
      </c>
      <c r="I117" s="628">
        <f t="shared" si="26"/>
        <v>744095.67320565972</v>
      </c>
      <c r="J117" s="504">
        <f t="shared" si="18"/>
        <v>0</v>
      </c>
      <c r="K117" s="504"/>
      <c r="L117" s="512"/>
      <c r="M117" s="504">
        <f t="shared" si="19"/>
        <v>0</v>
      </c>
      <c r="N117" s="512"/>
      <c r="O117" s="504">
        <f t="shared" si="20"/>
        <v>0</v>
      </c>
      <c r="P117" s="504">
        <f t="shared" si="21"/>
        <v>0</v>
      </c>
    </row>
    <row r="118" spans="2:16">
      <c r="B118" s="145" t="str">
        <f t="shared" si="17"/>
        <v/>
      </c>
      <c r="C118" s="495">
        <f>IF(D94="","-",+C117+1)</f>
        <v>2035</v>
      </c>
      <c r="D118" s="349">
        <f>IF(F117+SUM(E$100:E117)=D$93,F117,D$93-SUM(E$100:E117))</f>
        <v>2244387.8025793689</v>
      </c>
      <c r="E118" s="509">
        <f t="shared" si="22"/>
        <v>460130.47619047621</v>
      </c>
      <c r="F118" s="510">
        <f t="shared" si="23"/>
        <v>1784257.3263888927</v>
      </c>
      <c r="G118" s="510">
        <f t="shared" si="24"/>
        <v>2014322.5644841308</v>
      </c>
      <c r="H118" s="627">
        <f t="shared" si="25"/>
        <v>691291.66392508894</v>
      </c>
      <c r="I118" s="628">
        <f t="shared" si="26"/>
        <v>691291.66392508894</v>
      </c>
      <c r="J118" s="504">
        <f t="shared" si="18"/>
        <v>0</v>
      </c>
      <c r="K118" s="504"/>
      <c r="L118" s="512"/>
      <c r="M118" s="504">
        <f t="shared" si="19"/>
        <v>0</v>
      </c>
      <c r="N118" s="512"/>
      <c r="O118" s="504">
        <f t="shared" si="20"/>
        <v>0</v>
      </c>
      <c r="P118" s="504">
        <f t="shared" si="21"/>
        <v>0</v>
      </c>
    </row>
    <row r="119" spans="2:16">
      <c r="B119" s="145" t="str">
        <f t="shared" si="17"/>
        <v/>
      </c>
      <c r="C119" s="495">
        <f>IF(D94="","-",+C118+1)</f>
        <v>2036</v>
      </c>
      <c r="D119" s="349">
        <f>IF(F118+SUM(E$100:E118)=D$93,F118,D$93-SUM(E$100:E118))</f>
        <v>1784257.3263888927</v>
      </c>
      <c r="E119" s="509">
        <f t="shared" si="22"/>
        <v>460130.47619047621</v>
      </c>
      <c r="F119" s="510">
        <f t="shared" si="23"/>
        <v>1324126.8501984165</v>
      </c>
      <c r="G119" s="510">
        <f t="shared" si="24"/>
        <v>1554192.0882936546</v>
      </c>
      <c r="H119" s="627">
        <f t="shared" si="25"/>
        <v>638487.65464451793</v>
      </c>
      <c r="I119" s="628">
        <f t="shared" si="26"/>
        <v>638487.65464451793</v>
      </c>
      <c r="J119" s="504">
        <f t="shared" si="18"/>
        <v>0</v>
      </c>
      <c r="K119" s="504"/>
      <c r="L119" s="512"/>
      <c r="M119" s="504">
        <f t="shared" si="19"/>
        <v>0</v>
      </c>
      <c r="N119" s="512"/>
      <c r="O119" s="504">
        <f t="shared" si="20"/>
        <v>0</v>
      </c>
      <c r="P119" s="504">
        <f t="shared" si="21"/>
        <v>0</v>
      </c>
    </row>
    <row r="120" spans="2:16">
      <c r="B120" s="145" t="str">
        <f t="shared" si="17"/>
        <v/>
      </c>
      <c r="C120" s="495">
        <f>IF(D94="","-",+C119+1)</f>
        <v>2037</v>
      </c>
      <c r="D120" s="349">
        <f>IF(F119+SUM(E$100:E119)=D$93,F119,D$93-SUM(E$100:E119))</f>
        <v>1324126.8501984165</v>
      </c>
      <c r="E120" s="509">
        <f t="shared" si="22"/>
        <v>460130.47619047621</v>
      </c>
      <c r="F120" s="510">
        <f t="shared" si="23"/>
        <v>863996.37400794029</v>
      </c>
      <c r="G120" s="510">
        <f t="shared" si="24"/>
        <v>1094061.6121031784</v>
      </c>
      <c r="H120" s="627">
        <f t="shared" si="25"/>
        <v>585683.64536394714</v>
      </c>
      <c r="I120" s="628">
        <f t="shared" si="26"/>
        <v>585683.64536394714</v>
      </c>
      <c r="J120" s="504">
        <f t="shared" si="18"/>
        <v>0</v>
      </c>
      <c r="K120" s="504"/>
      <c r="L120" s="512"/>
      <c r="M120" s="504">
        <f t="shared" si="19"/>
        <v>0</v>
      </c>
      <c r="N120" s="512"/>
      <c r="O120" s="504">
        <f t="shared" si="20"/>
        <v>0</v>
      </c>
      <c r="P120" s="504">
        <f t="shared" si="21"/>
        <v>0</v>
      </c>
    </row>
    <row r="121" spans="2:16">
      <c r="B121" s="145" t="str">
        <f t="shared" si="17"/>
        <v/>
      </c>
      <c r="C121" s="495">
        <f>IF(D94="","-",+C120+1)</f>
        <v>2038</v>
      </c>
      <c r="D121" s="349">
        <f>IF(F120+SUM(E$100:E120)=D$93,F120,D$93-SUM(E$100:E120))</f>
        <v>863996.37400794029</v>
      </c>
      <c r="E121" s="509">
        <f t="shared" si="22"/>
        <v>460130.47619047621</v>
      </c>
      <c r="F121" s="510">
        <f t="shared" si="23"/>
        <v>403865.89781746408</v>
      </c>
      <c r="G121" s="510">
        <f t="shared" si="24"/>
        <v>633931.13591270219</v>
      </c>
      <c r="H121" s="627">
        <f t="shared" si="25"/>
        <v>532879.63608337624</v>
      </c>
      <c r="I121" s="628">
        <f t="shared" si="26"/>
        <v>532879.63608337624</v>
      </c>
      <c r="J121" s="504">
        <f t="shared" si="18"/>
        <v>0</v>
      </c>
      <c r="K121" s="504"/>
      <c r="L121" s="512"/>
      <c r="M121" s="504">
        <f t="shared" si="19"/>
        <v>0</v>
      </c>
      <c r="N121" s="512"/>
      <c r="O121" s="504">
        <f t="shared" si="20"/>
        <v>0</v>
      </c>
      <c r="P121" s="504">
        <f t="shared" si="21"/>
        <v>0</v>
      </c>
    </row>
    <row r="122" spans="2:16">
      <c r="B122" s="145" t="str">
        <f t="shared" si="17"/>
        <v/>
      </c>
      <c r="C122" s="495">
        <f>IF(D94="","-",+C121+1)</f>
        <v>2039</v>
      </c>
      <c r="D122" s="349">
        <f>IF(F121+SUM(E$100:E121)=D$93,F121,D$93-SUM(E$100:E121))</f>
        <v>403865.89781746408</v>
      </c>
      <c r="E122" s="509">
        <f t="shared" si="22"/>
        <v>403865.89781746408</v>
      </c>
      <c r="F122" s="510">
        <f t="shared" si="23"/>
        <v>0</v>
      </c>
      <c r="G122" s="510">
        <f t="shared" si="24"/>
        <v>201932.94890873204</v>
      </c>
      <c r="H122" s="627">
        <f t="shared" si="25"/>
        <v>427039.47544377134</v>
      </c>
      <c r="I122" s="628">
        <f t="shared" si="26"/>
        <v>427039.47544377134</v>
      </c>
      <c r="J122" s="504">
        <f t="shared" si="18"/>
        <v>0</v>
      </c>
      <c r="K122" s="504"/>
      <c r="L122" s="512"/>
      <c r="M122" s="504">
        <f t="shared" si="19"/>
        <v>0</v>
      </c>
      <c r="N122" s="512"/>
      <c r="O122" s="504">
        <f t="shared" si="20"/>
        <v>0</v>
      </c>
      <c r="P122" s="504">
        <f t="shared" si="21"/>
        <v>0</v>
      </c>
    </row>
    <row r="123" spans="2:16">
      <c r="B123" s="145" t="str">
        <f t="shared" si="17"/>
        <v/>
      </c>
      <c r="C123" s="495">
        <f>IF(D94="","-",+C122+1)</f>
        <v>2040</v>
      </c>
      <c r="D123" s="349">
        <f>IF(F122+SUM(E$100:E122)=D$93,F122,D$93-SUM(E$100:E122))</f>
        <v>0</v>
      </c>
      <c r="E123" s="509">
        <f t="shared" si="22"/>
        <v>0</v>
      </c>
      <c r="F123" s="510">
        <f t="shared" si="23"/>
        <v>0</v>
      </c>
      <c r="G123" s="510">
        <f t="shared" si="24"/>
        <v>0</v>
      </c>
      <c r="H123" s="627">
        <f t="shared" si="25"/>
        <v>0</v>
      </c>
      <c r="I123" s="628">
        <f t="shared" si="26"/>
        <v>0</v>
      </c>
      <c r="J123" s="504">
        <f t="shared" si="18"/>
        <v>0</v>
      </c>
      <c r="K123" s="504"/>
      <c r="L123" s="512"/>
      <c r="M123" s="504">
        <f t="shared" si="19"/>
        <v>0</v>
      </c>
      <c r="N123" s="512"/>
      <c r="O123" s="504">
        <f t="shared" si="20"/>
        <v>0</v>
      </c>
      <c r="P123" s="504">
        <f t="shared" si="21"/>
        <v>0</v>
      </c>
    </row>
    <row r="124" spans="2:16">
      <c r="B124" s="145" t="str">
        <f t="shared" si="17"/>
        <v/>
      </c>
      <c r="C124" s="495">
        <f>IF(D94="","-",+C123+1)</f>
        <v>2041</v>
      </c>
      <c r="D124" s="349">
        <f>IF(F123+SUM(E$100:E123)=D$93,F123,D$93-SUM(E$100:E123))</f>
        <v>0</v>
      </c>
      <c r="E124" s="509">
        <f t="shared" si="22"/>
        <v>0</v>
      </c>
      <c r="F124" s="510">
        <f t="shared" si="23"/>
        <v>0</v>
      </c>
      <c r="G124" s="510">
        <f t="shared" si="24"/>
        <v>0</v>
      </c>
      <c r="H124" s="627">
        <f t="shared" si="25"/>
        <v>0</v>
      </c>
      <c r="I124" s="628">
        <f t="shared" si="26"/>
        <v>0</v>
      </c>
      <c r="J124" s="504">
        <f t="shared" si="18"/>
        <v>0</v>
      </c>
      <c r="K124" s="504"/>
      <c r="L124" s="512"/>
      <c r="M124" s="504">
        <f t="shared" si="19"/>
        <v>0</v>
      </c>
      <c r="N124" s="512"/>
      <c r="O124" s="504">
        <f t="shared" si="20"/>
        <v>0</v>
      </c>
      <c r="P124" s="504">
        <f t="shared" si="21"/>
        <v>0</v>
      </c>
    </row>
    <row r="125" spans="2:16">
      <c r="B125" s="145" t="str">
        <f t="shared" si="17"/>
        <v/>
      </c>
      <c r="C125" s="495">
        <f>IF(D94="","-",+C124+1)</f>
        <v>2042</v>
      </c>
      <c r="D125" s="349">
        <f>IF(F124+SUM(E$100:E124)=D$93,F124,D$93-SUM(E$100:E124))</f>
        <v>0</v>
      </c>
      <c r="E125" s="509">
        <f t="shared" si="22"/>
        <v>0</v>
      </c>
      <c r="F125" s="510">
        <f t="shared" si="23"/>
        <v>0</v>
      </c>
      <c r="G125" s="510">
        <f t="shared" si="24"/>
        <v>0</v>
      </c>
      <c r="H125" s="627">
        <f t="shared" si="25"/>
        <v>0</v>
      </c>
      <c r="I125" s="628">
        <f t="shared" si="26"/>
        <v>0</v>
      </c>
      <c r="J125" s="504">
        <f t="shared" si="18"/>
        <v>0</v>
      </c>
      <c r="K125" s="504"/>
      <c r="L125" s="512"/>
      <c r="M125" s="504">
        <f t="shared" si="19"/>
        <v>0</v>
      </c>
      <c r="N125" s="512"/>
      <c r="O125" s="504">
        <f t="shared" si="20"/>
        <v>0</v>
      </c>
      <c r="P125" s="504">
        <f t="shared" si="21"/>
        <v>0</v>
      </c>
    </row>
    <row r="126" spans="2:16">
      <c r="B126" s="145" t="str">
        <f t="shared" si="17"/>
        <v/>
      </c>
      <c r="C126" s="495">
        <f>IF(D94="","-",+C125+1)</f>
        <v>2043</v>
      </c>
      <c r="D126" s="349">
        <f>IF(F125+SUM(E$100:E125)=D$93,F125,D$93-SUM(E$100:E125))</f>
        <v>0</v>
      </c>
      <c r="E126" s="509">
        <f t="shared" si="22"/>
        <v>0</v>
      </c>
      <c r="F126" s="510">
        <f t="shared" si="23"/>
        <v>0</v>
      </c>
      <c r="G126" s="510">
        <f t="shared" si="24"/>
        <v>0</v>
      </c>
      <c r="H126" s="627">
        <f t="shared" si="25"/>
        <v>0</v>
      </c>
      <c r="I126" s="628">
        <f t="shared" si="26"/>
        <v>0</v>
      </c>
      <c r="J126" s="504">
        <f t="shared" si="18"/>
        <v>0</v>
      </c>
      <c r="K126" s="504"/>
      <c r="L126" s="512"/>
      <c r="M126" s="504">
        <f t="shared" si="19"/>
        <v>0</v>
      </c>
      <c r="N126" s="512"/>
      <c r="O126" s="504">
        <f t="shared" si="20"/>
        <v>0</v>
      </c>
      <c r="P126" s="504">
        <f t="shared" si="21"/>
        <v>0</v>
      </c>
    </row>
    <row r="127" spans="2:16">
      <c r="B127" s="145" t="str">
        <f t="shared" si="17"/>
        <v/>
      </c>
      <c r="C127" s="495">
        <f>IF(D94="","-",+C126+1)</f>
        <v>2044</v>
      </c>
      <c r="D127" s="349">
        <f>IF(F126+SUM(E$100:E126)=D$93,F126,D$93-SUM(E$100:E126))</f>
        <v>0</v>
      </c>
      <c r="E127" s="509">
        <f t="shared" si="22"/>
        <v>0</v>
      </c>
      <c r="F127" s="510">
        <f t="shared" si="23"/>
        <v>0</v>
      </c>
      <c r="G127" s="510">
        <f t="shared" si="24"/>
        <v>0</v>
      </c>
      <c r="H127" s="627">
        <f t="shared" si="25"/>
        <v>0</v>
      </c>
      <c r="I127" s="628">
        <f t="shared" si="26"/>
        <v>0</v>
      </c>
      <c r="J127" s="504">
        <f t="shared" si="18"/>
        <v>0</v>
      </c>
      <c r="K127" s="504"/>
      <c r="L127" s="512"/>
      <c r="M127" s="504">
        <f t="shared" si="19"/>
        <v>0</v>
      </c>
      <c r="N127" s="512"/>
      <c r="O127" s="504">
        <f t="shared" si="20"/>
        <v>0</v>
      </c>
      <c r="P127" s="504">
        <f t="shared" si="21"/>
        <v>0</v>
      </c>
    </row>
    <row r="128" spans="2:16">
      <c r="B128" s="145" t="str">
        <f t="shared" si="17"/>
        <v/>
      </c>
      <c r="C128" s="495">
        <f>IF(D94="","-",+C127+1)</f>
        <v>2045</v>
      </c>
      <c r="D128" s="349">
        <f>IF(F127+SUM(E$100:E127)=D$93,F127,D$93-SUM(E$100:E127))</f>
        <v>0</v>
      </c>
      <c r="E128" s="509">
        <f t="shared" si="22"/>
        <v>0</v>
      </c>
      <c r="F128" s="510">
        <f t="shared" si="23"/>
        <v>0</v>
      </c>
      <c r="G128" s="510">
        <f t="shared" si="24"/>
        <v>0</v>
      </c>
      <c r="H128" s="627">
        <f t="shared" si="25"/>
        <v>0</v>
      </c>
      <c r="I128" s="628">
        <f t="shared" si="26"/>
        <v>0</v>
      </c>
      <c r="J128" s="504">
        <f t="shared" si="18"/>
        <v>0</v>
      </c>
      <c r="K128" s="504"/>
      <c r="L128" s="512"/>
      <c r="M128" s="504">
        <f t="shared" si="19"/>
        <v>0</v>
      </c>
      <c r="N128" s="512"/>
      <c r="O128" s="504">
        <f t="shared" si="20"/>
        <v>0</v>
      </c>
      <c r="P128" s="504">
        <f t="shared" si="21"/>
        <v>0</v>
      </c>
    </row>
    <row r="129" spans="2:16">
      <c r="B129" s="145" t="str">
        <f t="shared" si="17"/>
        <v/>
      </c>
      <c r="C129" s="495">
        <f>IF(D94="","-",+C128+1)</f>
        <v>2046</v>
      </c>
      <c r="D129" s="349">
        <f>IF(F128+SUM(E$100:E128)=D$93,F128,D$93-SUM(E$100:E128))</f>
        <v>0</v>
      </c>
      <c r="E129" s="509">
        <f t="shared" si="22"/>
        <v>0</v>
      </c>
      <c r="F129" s="510">
        <f t="shared" si="23"/>
        <v>0</v>
      </c>
      <c r="G129" s="510">
        <f t="shared" si="24"/>
        <v>0</v>
      </c>
      <c r="H129" s="627">
        <f t="shared" si="25"/>
        <v>0</v>
      </c>
      <c r="I129" s="628">
        <f t="shared" si="26"/>
        <v>0</v>
      </c>
      <c r="J129" s="504">
        <f t="shared" si="18"/>
        <v>0</v>
      </c>
      <c r="K129" s="504"/>
      <c r="L129" s="512"/>
      <c r="M129" s="504">
        <f t="shared" si="19"/>
        <v>0</v>
      </c>
      <c r="N129" s="512"/>
      <c r="O129" s="504">
        <f t="shared" si="20"/>
        <v>0</v>
      </c>
      <c r="P129" s="504">
        <f t="shared" si="21"/>
        <v>0</v>
      </c>
    </row>
    <row r="130" spans="2:16">
      <c r="B130" s="145" t="str">
        <f t="shared" si="17"/>
        <v/>
      </c>
      <c r="C130" s="495">
        <f>IF(D94="","-",+C129+1)</f>
        <v>2047</v>
      </c>
      <c r="D130" s="349">
        <f>IF(F129+SUM(E$100:E129)=D$93,F129,D$93-SUM(E$100:E129))</f>
        <v>0</v>
      </c>
      <c r="E130" s="509">
        <f t="shared" si="22"/>
        <v>0</v>
      </c>
      <c r="F130" s="510">
        <f t="shared" si="23"/>
        <v>0</v>
      </c>
      <c r="G130" s="510">
        <f t="shared" si="24"/>
        <v>0</v>
      </c>
      <c r="H130" s="627">
        <f t="shared" si="25"/>
        <v>0</v>
      </c>
      <c r="I130" s="628">
        <f t="shared" si="26"/>
        <v>0</v>
      </c>
      <c r="J130" s="504">
        <f t="shared" si="18"/>
        <v>0</v>
      </c>
      <c r="K130" s="504"/>
      <c r="L130" s="512"/>
      <c r="M130" s="504">
        <f t="shared" si="19"/>
        <v>0</v>
      </c>
      <c r="N130" s="512"/>
      <c r="O130" s="504">
        <f t="shared" si="20"/>
        <v>0</v>
      </c>
      <c r="P130" s="504">
        <f t="shared" si="21"/>
        <v>0</v>
      </c>
    </row>
    <row r="131" spans="2:16">
      <c r="B131" s="145" t="str">
        <f t="shared" si="17"/>
        <v/>
      </c>
      <c r="C131" s="495">
        <f>IF(D94="","-",+C130+1)</f>
        <v>2048</v>
      </c>
      <c r="D131" s="349">
        <f>IF(F130+SUM(E$100:E130)=D$93,F130,D$93-SUM(E$100:E130))</f>
        <v>0</v>
      </c>
      <c r="E131" s="509">
        <f t="shared" si="22"/>
        <v>0</v>
      </c>
      <c r="F131" s="510">
        <f t="shared" si="23"/>
        <v>0</v>
      </c>
      <c r="G131" s="510">
        <f t="shared" si="24"/>
        <v>0</v>
      </c>
      <c r="H131" s="627">
        <f t="shared" si="25"/>
        <v>0</v>
      </c>
      <c r="I131" s="628">
        <f t="shared" si="26"/>
        <v>0</v>
      </c>
      <c r="J131" s="504">
        <f t="shared" si="18"/>
        <v>0</v>
      </c>
      <c r="K131" s="504"/>
      <c r="L131" s="512"/>
      <c r="M131" s="504">
        <f t="shared" si="19"/>
        <v>0</v>
      </c>
      <c r="N131" s="512"/>
      <c r="O131" s="504">
        <f t="shared" si="20"/>
        <v>0</v>
      </c>
      <c r="P131" s="504">
        <f t="shared" si="21"/>
        <v>0</v>
      </c>
    </row>
    <row r="132" spans="2:16">
      <c r="B132" s="145" t="str">
        <f t="shared" si="17"/>
        <v/>
      </c>
      <c r="C132" s="495">
        <f>IF(D94="","-",+C131+1)</f>
        <v>2049</v>
      </c>
      <c r="D132" s="349">
        <f>IF(F131+SUM(E$100:E131)=D$93,F131,D$93-SUM(E$100:E131))</f>
        <v>0</v>
      </c>
      <c r="E132" s="509">
        <f t="shared" si="22"/>
        <v>0</v>
      </c>
      <c r="F132" s="510">
        <f t="shared" ref="F132:F155" si="27">+D132-E132</f>
        <v>0</v>
      </c>
      <c r="G132" s="510">
        <f t="shared" ref="G132:G155" si="28">+(F132+D132)/2</f>
        <v>0</v>
      </c>
      <c r="H132" s="627">
        <f t="shared" si="25"/>
        <v>0</v>
      </c>
      <c r="I132" s="628">
        <f t="shared" si="26"/>
        <v>0</v>
      </c>
      <c r="J132" s="504">
        <f t="shared" ref="J132:J155" si="29">+I542-H542</f>
        <v>0</v>
      </c>
      <c r="K132" s="504"/>
      <c r="L132" s="512"/>
      <c r="M132" s="504">
        <f t="shared" ref="M132:M155" si="30">IF(L542&lt;&gt;0,+H542-L542,0)</f>
        <v>0</v>
      </c>
      <c r="N132" s="512"/>
      <c r="O132" s="504">
        <f t="shared" ref="O132:O155" si="31">IF(N542&lt;&gt;0,+I542-N542,0)</f>
        <v>0</v>
      </c>
      <c r="P132" s="504">
        <f t="shared" ref="P132:P155" si="32">+O542-M542</f>
        <v>0</v>
      </c>
    </row>
    <row r="133" spans="2:16">
      <c r="B133" s="145" t="str">
        <f t="shared" si="17"/>
        <v/>
      </c>
      <c r="C133" s="495">
        <f>IF(D94="","-",+C132+1)</f>
        <v>2050</v>
      </c>
      <c r="D133" s="349">
        <f>IF(F132+SUM(E$100:E132)=D$93,F132,D$93-SUM(E$100:E132))</f>
        <v>0</v>
      </c>
      <c r="E133" s="509">
        <f t="shared" ref="E133:E155" si="33">IF(+J$97&lt;F132,J$97,D133)</f>
        <v>0</v>
      </c>
      <c r="F133" s="510">
        <f t="shared" si="27"/>
        <v>0</v>
      </c>
      <c r="G133" s="510">
        <f t="shared" si="28"/>
        <v>0</v>
      </c>
      <c r="H133" s="627">
        <f t="shared" si="25"/>
        <v>0</v>
      </c>
      <c r="I133" s="628">
        <f t="shared" si="26"/>
        <v>0</v>
      </c>
      <c r="J133" s="504">
        <f t="shared" si="29"/>
        <v>0</v>
      </c>
      <c r="K133" s="504"/>
      <c r="L133" s="512"/>
      <c r="M133" s="504">
        <f t="shared" si="30"/>
        <v>0</v>
      </c>
      <c r="N133" s="512"/>
      <c r="O133" s="504">
        <f t="shared" si="31"/>
        <v>0</v>
      </c>
      <c r="P133" s="504">
        <f t="shared" si="32"/>
        <v>0</v>
      </c>
    </row>
    <row r="134" spans="2:16">
      <c r="B134" s="145" t="str">
        <f t="shared" si="17"/>
        <v/>
      </c>
      <c r="C134" s="495">
        <f>IF(D94="","-",+C133+1)</f>
        <v>2051</v>
      </c>
      <c r="D134" s="349">
        <f>IF(F133+SUM(E$100:E133)=D$93,F133,D$93-SUM(E$100:E133))</f>
        <v>0</v>
      </c>
      <c r="E134" s="509">
        <f t="shared" si="33"/>
        <v>0</v>
      </c>
      <c r="F134" s="510">
        <f t="shared" si="27"/>
        <v>0</v>
      </c>
      <c r="G134" s="510">
        <f t="shared" si="28"/>
        <v>0</v>
      </c>
      <c r="H134" s="627">
        <f t="shared" si="25"/>
        <v>0</v>
      </c>
      <c r="I134" s="628">
        <f t="shared" si="26"/>
        <v>0</v>
      </c>
      <c r="J134" s="504">
        <f t="shared" si="29"/>
        <v>0</v>
      </c>
      <c r="K134" s="504"/>
      <c r="L134" s="512"/>
      <c r="M134" s="504">
        <f t="shared" si="30"/>
        <v>0</v>
      </c>
      <c r="N134" s="512"/>
      <c r="O134" s="504">
        <f t="shared" si="31"/>
        <v>0</v>
      </c>
      <c r="P134" s="504">
        <f t="shared" si="32"/>
        <v>0</v>
      </c>
    </row>
    <row r="135" spans="2:16">
      <c r="B135" s="145" t="str">
        <f t="shared" si="17"/>
        <v/>
      </c>
      <c r="C135" s="495">
        <f>IF(D94="","-",+C134+1)</f>
        <v>2052</v>
      </c>
      <c r="D135" s="349">
        <f>IF(F134+SUM(E$100:E134)=D$93,F134,D$93-SUM(E$100:E134))</f>
        <v>0</v>
      </c>
      <c r="E135" s="509">
        <f t="shared" si="33"/>
        <v>0</v>
      </c>
      <c r="F135" s="510">
        <f t="shared" si="27"/>
        <v>0</v>
      </c>
      <c r="G135" s="510">
        <f t="shared" si="28"/>
        <v>0</v>
      </c>
      <c r="H135" s="627">
        <f t="shared" si="25"/>
        <v>0</v>
      </c>
      <c r="I135" s="628">
        <f t="shared" si="26"/>
        <v>0</v>
      </c>
      <c r="J135" s="504">
        <f t="shared" si="29"/>
        <v>0</v>
      </c>
      <c r="K135" s="504"/>
      <c r="L135" s="512"/>
      <c r="M135" s="504">
        <f t="shared" si="30"/>
        <v>0</v>
      </c>
      <c r="N135" s="512"/>
      <c r="O135" s="504">
        <f t="shared" si="31"/>
        <v>0</v>
      </c>
      <c r="P135" s="504">
        <f t="shared" si="32"/>
        <v>0</v>
      </c>
    </row>
    <row r="136" spans="2:16">
      <c r="B136" s="145" t="str">
        <f t="shared" si="17"/>
        <v/>
      </c>
      <c r="C136" s="495">
        <f>IF(D94="","-",+C135+1)</f>
        <v>2053</v>
      </c>
      <c r="D136" s="349">
        <f>IF(F135+SUM(E$100:E135)=D$93,F135,D$93-SUM(E$100:E135))</f>
        <v>0</v>
      </c>
      <c r="E136" s="509">
        <f t="shared" si="33"/>
        <v>0</v>
      </c>
      <c r="F136" s="510">
        <f t="shared" si="27"/>
        <v>0</v>
      </c>
      <c r="G136" s="510">
        <f t="shared" si="28"/>
        <v>0</v>
      </c>
      <c r="H136" s="627">
        <f t="shared" si="25"/>
        <v>0</v>
      </c>
      <c r="I136" s="628">
        <f t="shared" si="26"/>
        <v>0</v>
      </c>
      <c r="J136" s="504">
        <f t="shared" si="29"/>
        <v>0</v>
      </c>
      <c r="K136" s="504"/>
      <c r="L136" s="512"/>
      <c r="M136" s="504">
        <f t="shared" si="30"/>
        <v>0</v>
      </c>
      <c r="N136" s="512"/>
      <c r="O136" s="504">
        <f t="shared" si="31"/>
        <v>0</v>
      </c>
      <c r="P136" s="504">
        <f t="shared" si="32"/>
        <v>0</v>
      </c>
    </row>
    <row r="137" spans="2:16">
      <c r="B137" s="145" t="str">
        <f t="shared" si="17"/>
        <v/>
      </c>
      <c r="C137" s="495">
        <f>IF(D94="","-",+C136+1)</f>
        <v>2054</v>
      </c>
      <c r="D137" s="349">
        <f>IF(F136+SUM(E$100:E136)=D$93,F136,D$93-SUM(E$100:E136))</f>
        <v>0</v>
      </c>
      <c r="E137" s="509">
        <f t="shared" si="33"/>
        <v>0</v>
      </c>
      <c r="F137" s="510">
        <f t="shared" si="27"/>
        <v>0</v>
      </c>
      <c r="G137" s="510">
        <f t="shared" si="28"/>
        <v>0</v>
      </c>
      <c r="H137" s="627">
        <f t="shared" si="25"/>
        <v>0</v>
      </c>
      <c r="I137" s="628">
        <f t="shared" si="26"/>
        <v>0</v>
      </c>
      <c r="J137" s="504">
        <f t="shared" si="29"/>
        <v>0</v>
      </c>
      <c r="K137" s="504"/>
      <c r="L137" s="512"/>
      <c r="M137" s="504">
        <f t="shared" si="30"/>
        <v>0</v>
      </c>
      <c r="N137" s="512"/>
      <c r="O137" s="504">
        <f t="shared" si="31"/>
        <v>0</v>
      </c>
      <c r="P137" s="504">
        <f t="shared" si="32"/>
        <v>0</v>
      </c>
    </row>
    <row r="138" spans="2:16">
      <c r="B138" s="145" t="str">
        <f t="shared" si="17"/>
        <v/>
      </c>
      <c r="C138" s="495">
        <f>IF(D94="","-",+C137+1)</f>
        <v>2055</v>
      </c>
      <c r="D138" s="349">
        <f>IF(F137+SUM(E$100:E137)=D$93,F137,D$93-SUM(E$100:E137))</f>
        <v>0</v>
      </c>
      <c r="E138" s="509">
        <f t="shared" si="33"/>
        <v>0</v>
      </c>
      <c r="F138" s="510">
        <f t="shared" si="27"/>
        <v>0</v>
      </c>
      <c r="G138" s="510">
        <f t="shared" si="28"/>
        <v>0</v>
      </c>
      <c r="H138" s="627">
        <f t="shared" si="25"/>
        <v>0</v>
      </c>
      <c r="I138" s="628">
        <f t="shared" si="26"/>
        <v>0</v>
      </c>
      <c r="J138" s="504">
        <f t="shared" si="29"/>
        <v>0</v>
      </c>
      <c r="K138" s="504"/>
      <c r="L138" s="512"/>
      <c r="M138" s="504">
        <f t="shared" si="30"/>
        <v>0</v>
      </c>
      <c r="N138" s="512"/>
      <c r="O138" s="504">
        <f t="shared" si="31"/>
        <v>0</v>
      </c>
      <c r="P138" s="504">
        <f t="shared" si="32"/>
        <v>0</v>
      </c>
    </row>
    <row r="139" spans="2:16">
      <c r="B139" s="145" t="str">
        <f t="shared" si="17"/>
        <v/>
      </c>
      <c r="C139" s="495">
        <f>IF(D94="","-",+C138+1)</f>
        <v>2056</v>
      </c>
      <c r="D139" s="349">
        <f>IF(F138+SUM(E$100:E138)=D$93,F138,D$93-SUM(E$100:E138))</f>
        <v>0</v>
      </c>
      <c r="E139" s="509">
        <f t="shared" si="33"/>
        <v>0</v>
      </c>
      <c r="F139" s="510">
        <f t="shared" si="27"/>
        <v>0</v>
      </c>
      <c r="G139" s="510">
        <f t="shared" si="28"/>
        <v>0</v>
      </c>
      <c r="H139" s="627">
        <f t="shared" si="25"/>
        <v>0</v>
      </c>
      <c r="I139" s="628">
        <f t="shared" si="26"/>
        <v>0</v>
      </c>
      <c r="J139" s="504">
        <f t="shared" si="29"/>
        <v>0</v>
      </c>
      <c r="K139" s="504"/>
      <c r="L139" s="512"/>
      <c r="M139" s="504">
        <f t="shared" si="30"/>
        <v>0</v>
      </c>
      <c r="N139" s="512"/>
      <c r="O139" s="504">
        <f t="shared" si="31"/>
        <v>0</v>
      </c>
      <c r="P139" s="504">
        <f t="shared" si="32"/>
        <v>0</v>
      </c>
    </row>
    <row r="140" spans="2:16">
      <c r="B140" s="145" t="str">
        <f t="shared" si="17"/>
        <v/>
      </c>
      <c r="C140" s="495">
        <f>IF(D94="","-",+C139+1)</f>
        <v>2057</v>
      </c>
      <c r="D140" s="349">
        <f>IF(F139+SUM(E$100:E139)=D$93,F139,D$93-SUM(E$100:E139))</f>
        <v>0</v>
      </c>
      <c r="E140" s="509">
        <f t="shared" si="33"/>
        <v>0</v>
      </c>
      <c r="F140" s="510">
        <f t="shared" si="27"/>
        <v>0</v>
      </c>
      <c r="G140" s="510">
        <f t="shared" si="28"/>
        <v>0</v>
      </c>
      <c r="H140" s="627">
        <f t="shared" si="25"/>
        <v>0</v>
      </c>
      <c r="I140" s="628">
        <f t="shared" si="26"/>
        <v>0</v>
      </c>
      <c r="J140" s="504">
        <f t="shared" si="29"/>
        <v>0</v>
      </c>
      <c r="K140" s="504"/>
      <c r="L140" s="512"/>
      <c r="M140" s="504">
        <f t="shared" si="30"/>
        <v>0</v>
      </c>
      <c r="N140" s="512"/>
      <c r="O140" s="504">
        <f t="shared" si="31"/>
        <v>0</v>
      </c>
      <c r="P140" s="504">
        <f t="shared" si="32"/>
        <v>0</v>
      </c>
    </row>
    <row r="141" spans="2:16">
      <c r="B141" s="145" t="str">
        <f t="shared" si="17"/>
        <v/>
      </c>
      <c r="C141" s="495">
        <f>IF(D94="","-",+C140+1)</f>
        <v>2058</v>
      </c>
      <c r="D141" s="349">
        <f>IF(F140+SUM(E$100:E140)=D$93,F140,D$93-SUM(E$100:E140))</f>
        <v>0</v>
      </c>
      <c r="E141" s="509">
        <f t="shared" si="33"/>
        <v>0</v>
      </c>
      <c r="F141" s="510">
        <f t="shared" si="27"/>
        <v>0</v>
      </c>
      <c r="G141" s="510">
        <f t="shared" si="28"/>
        <v>0</v>
      </c>
      <c r="H141" s="627">
        <f t="shared" si="25"/>
        <v>0</v>
      </c>
      <c r="I141" s="628">
        <f t="shared" si="26"/>
        <v>0</v>
      </c>
      <c r="J141" s="504">
        <f t="shared" si="29"/>
        <v>0</v>
      </c>
      <c r="K141" s="504"/>
      <c r="L141" s="512"/>
      <c r="M141" s="504">
        <f t="shared" si="30"/>
        <v>0</v>
      </c>
      <c r="N141" s="512"/>
      <c r="O141" s="504">
        <f t="shared" si="31"/>
        <v>0</v>
      </c>
      <c r="P141" s="504">
        <f t="shared" si="32"/>
        <v>0</v>
      </c>
    </row>
    <row r="142" spans="2:16">
      <c r="B142" s="145" t="str">
        <f t="shared" si="17"/>
        <v/>
      </c>
      <c r="C142" s="495">
        <f>IF(D94="","-",+C141+1)</f>
        <v>2059</v>
      </c>
      <c r="D142" s="349">
        <f>IF(F141+SUM(E$100:E141)=D$93,F141,D$93-SUM(E$100:E141))</f>
        <v>0</v>
      </c>
      <c r="E142" s="509">
        <f t="shared" si="33"/>
        <v>0</v>
      </c>
      <c r="F142" s="510">
        <f t="shared" si="27"/>
        <v>0</v>
      </c>
      <c r="G142" s="510">
        <f t="shared" si="28"/>
        <v>0</v>
      </c>
      <c r="H142" s="627">
        <f t="shared" si="25"/>
        <v>0</v>
      </c>
      <c r="I142" s="628">
        <f t="shared" si="26"/>
        <v>0</v>
      </c>
      <c r="J142" s="504">
        <f t="shared" si="29"/>
        <v>0</v>
      </c>
      <c r="K142" s="504"/>
      <c r="L142" s="512"/>
      <c r="M142" s="504">
        <f t="shared" si="30"/>
        <v>0</v>
      </c>
      <c r="N142" s="512"/>
      <c r="O142" s="504">
        <f t="shared" si="31"/>
        <v>0</v>
      </c>
      <c r="P142" s="504">
        <f t="shared" si="32"/>
        <v>0</v>
      </c>
    </row>
    <row r="143" spans="2:16">
      <c r="B143" s="145" t="str">
        <f t="shared" si="17"/>
        <v/>
      </c>
      <c r="C143" s="495">
        <f>IF(D94="","-",+C142+1)</f>
        <v>2060</v>
      </c>
      <c r="D143" s="349">
        <f>IF(F142+SUM(E$100:E142)=D$93,F142,D$93-SUM(E$100:E142))</f>
        <v>0</v>
      </c>
      <c r="E143" s="509">
        <f t="shared" si="33"/>
        <v>0</v>
      </c>
      <c r="F143" s="510">
        <f t="shared" si="27"/>
        <v>0</v>
      </c>
      <c r="G143" s="510">
        <f t="shared" si="28"/>
        <v>0</v>
      </c>
      <c r="H143" s="627">
        <f t="shared" si="25"/>
        <v>0</v>
      </c>
      <c r="I143" s="628">
        <f t="shared" si="26"/>
        <v>0</v>
      </c>
      <c r="J143" s="504">
        <f t="shared" si="29"/>
        <v>0</v>
      </c>
      <c r="K143" s="504"/>
      <c r="L143" s="512"/>
      <c r="M143" s="504">
        <f t="shared" si="30"/>
        <v>0</v>
      </c>
      <c r="N143" s="512"/>
      <c r="O143" s="504">
        <f t="shared" si="31"/>
        <v>0</v>
      </c>
      <c r="P143" s="504">
        <f t="shared" si="32"/>
        <v>0</v>
      </c>
    </row>
    <row r="144" spans="2:16">
      <c r="B144" s="145" t="str">
        <f t="shared" si="17"/>
        <v/>
      </c>
      <c r="C144" s="495">
        <f>IF(D94="","-",+C143+1)</f>
        <v>2061</v>
      </c>
      <c r="D144" s="349">
        <f>IF(F143+SUM(E$100:E143)=D$93,F143,D$93-SUM(E$100:E143))</f>
        <v>0</v>
      </c>
      <c r="E144" s="509">
        <f t="shared" si="33"/>
        <v>0</v>
      </c>
      <c r="F144" s="510">
        <f t="shared" si="27"/>
        <v>0</v>
      </c>
      <c r="G144" s="510">
        <f t="shared" si="28"/>
        <v>0</v>
      </c>
      <c r="H144" s="627">
        <f t="shared" si="25"/>
        <v>0</v>
      </c>
      <c r="I144" s="628">
        <f t="shared" si="26"/>
        <v>0</v>
      </c>
      <c r="J144" s="504">
        <f t="shared" si="29"/>
        <v>0</v>
      </c>
      <c r="K144" s="504"/>
      <c r="L144" s="512"/>
      <c r="M144" s="504">
        <f t="shared" si="30"/>
        <v>0</v>
      </c>
      <c r="N144" s="512"/>
      <c r="O144" s="504">
        <f t="shared" si="31"/>
        <v>0</v>
      </c>
      <c r="P144" s="504">
        <f t="shared" si="32"/>
        <v>0</v>
      </c>
    </row>
    <row r="145" spans="2:16">
      <c r="B145" s="145" t="str">
        <f t="shared" si="17"/>
        <v/>
      </c>
      <c r="C145" s="495">
        <f>IF(D94="","-",+C144+1)</f>
        <v>2062</v>
      </c>
      <c r="D145" s="349">
        <f>IF(F144+SUM(E$100:E144)=D$93,F144,D$93-SUM(E$100:E144))</f>
        <v>0</v>
      </c>
      <c r="E145" s="509">
        <f t="shared" si="33"/>
        <v>0</v>
      </c>
      <c r="F145" s="510">
        <f t="shared" si="27"/>
        <v>0</v>
      </c>
      <c r="G145" s="510">
        <f t="shared" si="28"/>
        <v>0</v>
      </c>
      <c r="H145" s="627">
        <f t="shared" si="25"/>
        <v>0</v>
      </c>
      <c r="I145" s="628">
        <f t="shared" si="26"/>
        <v>0</v>
      </c>
      <c r="J145" s="504">
        <f t="shared" si="29"/>
        <v>0</v>
      </c>
      <c r="K145" s="504"/>
      <c r="L145" s="512"/>
      <c r="M145" s="504">
        <f t="shared" si="30"/>
        <v>0</v>
      </c>
      <c r="N145" s="512"/>
      <c r="O145" s="504">
        <f t="shared" si="31"/>
        <v>0</v>
      </c>
      <c r="P145" s="504">
        <f t="shared" si="32"/>
        <v>0</v>
      </c>
    </row>
    <row r="146" spans="2:16">
      <c r="B146" s="145" t="str">
        <f t="shared" si="17"/>
        <v/>
      </c>
      <c r="C146" s="495">
        <f>IF(D94="","-",+C145+1)</f>
        <v>2063</v>
      </c>
      <c r="D146" s="349">
        <f>IF(F145+SUM(E$100:E145)=D$93,F145,D$93-SUM(E$100:E145))</f>
        <v>0</v>
      </c>
      <c r="E146" s="509">
        <f t="shared" si="33"/>
        <v>0</v>
      </c>
      <c r="F146" s="510">
        <f t="shared" si="27"/>
        <v>0</v>
      </c>
      <c r="G146" s="510">
        <f t="shared" si="28"/>
        <v>0</v>
      </c>
      <c r="H146" s="627">
        <f t="shared" si="25"/>
        <v>0</v>
      </c>
      <c r="I146" s="628">
        <f t="shared" si="26"/>
        <v>0</v>
      </c>
      <c r="J146" s="504">
        <f t="shared" si="29"/>
        <v>0</v>
      </c>
      <c r="K146" s="504"/>
      <c r="L146" s="512"/>
      <c r="M146" s="504">
        <f t="shared" si="30"/>
        <v>0</v>
      </c>
      <c r="N146" s="512"/>
      <c r="O146" s="504">
        <f t="shared" si="31"/>
        <v>0</v>
      </c>
      <c r="P146" s="504">
        <f t="shared" si="32"/>
        <v>0</v>
      </c>
    </row>
    <row r="147" spans="2:16">
      <c r="B147" s="145" t="str">
        <f t="shared" si="17"/>
        <v/>
      </c>
      <c r="C147" s="495">
        <f>IF(D94="","-",+C146+1)</f>
        <v>2064</v>
      </c>
      <c r="D147" s="349">
        <f>IF(F146+SUM(E$100:E146)=D$93,F146,D$93-SUM(E$100:E146))</f>
        <v>0</v>
      </c>
      <c r="E147" s="509">
        <f t="shared" si="33"/>
        <v>0</v>
      </c>
      <c r="F147" s="510">
        <f t="shared" si="27"/>
        <v>0</v>
      </c>
      <c r="G147" s="510">
        <f t="shared" si="28"/>
        <v>0</v>
      </c>
      <c r="H147" s="627">
        <f t="shared" si="25"/>
        <v>0</v>
      </c>
      <c r="I147" s="628">
        <f t="shared" si="26"/>
        <v>0</v>
      </c>
      <c r="J147" s="504">
        <f t="shared" si="29"/>
        <v>0</v>
      </c>
      <c r="K147" s="504"/>
      <c r="L147" s="512"/>
      <c r="M147" s="504">
        <f t="shared" si="30"/>
        <v>0</v>
      </c>
      <c r="N147" s="512"/>
      <c r="O147" s="504">
        <f t="shared" si="31"/>
        <v>0</v>
      </c>
      <c r="P147" s="504">
        <f t="shared" si="32"/>
        <v>0</v>
      </c>
    </row>
    <row r="148" spans="2:16">
      <c r="B148" s="145" t="str">
        <f t="shared" si="17"/>
        <v/>
      </c>
      <c r="C148" s="495">
        <f>IF(D94="","-",+C147+1)</f>
        <v>2065</v>
      </c>
      <c r="D148" s="349">
        <f>IF(F147+SUM(E$100:E147)=D$93,F147,D$93-SUM(E$100:E147))</f>
        <v>0</v>
      </c>
      <c r="E148" s="509">
        <f t="shared" si="33"/>
        <v>0</v>
      </c>
      <c r="F148" s="510">
        <f t="shared" si="27"/>
        <v>0</v>
      </c>
      <c r="G148" s="510">
        <f t="shared" si="28"/>
        <v>0</v>
      </c>
      <c r="H148" s="627">
        <f t="shared" si="25"/>
        <v>0</v>
      </c>
      <c r="I148" s="628">
        <f t="shared" si="26"/>
        <v>0</v>
      </c>
      <c r="J148" s="504">
        <f t="shared" si="29"/>
        <v>0</v>
      </c>
      <c r="K148" s="504"/>
      <c r="L148" s="512"/>
      <c r="M148" s="504">
        <f t="shared" si="30"/>
        <v>0</v>
      </c>
      <c r="N148" s="512"/>
      <c r="O148" s="504">
        <f t="shared" si="31"/>
        <v>0</v>
      </c>
      <c r="P148" s="504">
        <f t="shared" si="32"/>
        <v>0</v>
      </c>
    </row>
    <row r="149" spans="2:16">
      <c r="B149" s="145" t="str">
        <f t="shared" si="17"/>
        <v/>
      </c>
      <c r="C149" s="495">
        <f>IF(D94="","-",+C148+1)</f>
        <v>2066</v>
      </c>
      <c r="D149" s="349">
        <f>IF(F148+SUM(E$100:E148)=D$93,F148,D$93-SUM(E$100:E148))</f>
        <v>0</v>
      </c>
      <c r="E149" s="509">
        <f t="shared" si="33"/>
        <v>0</v>
      </c>
      <c r="F149" s="510">
        <f t="shared" si="27"/>
        <v>0</v>
      </c>
      <c r="G149" s="510">
        <f t="shared" si="28"/>
        <v>0</v>
      </c>
      <c r="H149" s="627">
        <f t="shared" si="25"/>
        <v>0</v>
      </c>
      <c r="I149" s="628">
        <f t="shared" si="26"/>
        <v>0</v>
      </c>
      <c r="J149" s="504">
        <f t="shared" si="29"/>
        <v>0</v>
      </c>
      <c r="K149" s="504"/>
      <c r="L149" s="512"/>
      <c r="M149" s="504">
        <f t="shared" si="30"/>
        <v>0</v>
      </c>
      <c r="N149" s="512"/>
      <c r="O149" s="504">
        <f t="shared" si="31"/>
        <v>0</v>
      </c>
      <c r="P149" s="504">
        <f t="shared" si="32"/>
        <v>0</v>
      </c>
    </row>
    <row r="150" spans="2:16">
      <c r="B150" s="145" t="str">
        <f t="shared" si="17"/>
        <v/>
      </c>
      <c r="C150" s="495">
        <f>IF(D94="","-",+C149+1)</f>
        <v>2067</v>
      </c>
      <c r="D150" s="349">
        <f>IF(F149+SUM(E$100:E149)=D$93,F149,D$93-SUM(E$100:E149))</f>
        <v>0</v>
      </c>
      <c r="E150" s="509">
        <f t="shared" si="33"/>
        <v>0</v>
      </c>
      <c r="F150" s="510">
        <f t="shared" si="27"/>
        <v>0</v>
      </c>
      <c r="G150" s="510">
        <f t="shared" si="28"/>
        <v>0</v>
      </c>
      <c r="H150" s="627">
        <f t="shared" si="25"/>
        <v>0</v>
      </c>
      <c r="I150" s="628">
        <f t="shared" si="26"/>
        <v>0</v>
      </c>
      <c r="J150" s="504">
        <f t="shared" si="29"/>
        <v>0</v>
      </c>
      <c r="K150" s="504"/>
      <c r="L150" s="512"/>
      <c r="M150" s="504">
        <f t="shared" si="30"/>
        <v>0</v>
      </c>
      <c r="N150" s="512"/>
      <c r="O150" s="504">
        <f t="shared" si="31"/>
        <v>0</v>
      </c>
      <c r="P150" s="504">
        <f t="shared" si="32"/>
        <v>0</v>
      </c>
    </row>
    <row r="151" spans="2:16">
      <c r="B151" s="145" t="str">
        <f t="shared" si="17"/>
        <v/>
      </c>
      <c r="C151" s="495">
        <f>IF(D94="","-",+C150+1)</f>
        <v>2068</v>
      </c>
      <c r="D151" s="349">
        <f>IF(F150+SUM(E$100:E150)=D$93,F150,D$93-SUM(E$100:E150))</f>
        <v>0</v>
      </c>
      <c r="E151" s="509">
        <f t="shared" si="33"/>
        <v>0</v>
      </c>
      <c r="F151" s="510">
        <f t="shared" si="27"/>
        <v>0</v>
      </c>
      <c r="G151" s="510">
        <f t="shared" si="28"/>
        <v>0</v>
      </c>
      <c r="H151" s="627">
        <f t="shared" si="25"/>
        <v>0</v>
      </c>
      <c r="I151" s="628">
        <f t="shared" si="26"/>
        <v>0</v>
      </c>
      <c r="J151" s="504">
        <f t="shared" si="29"/>
        <v>0</v>
      </c>
      <c r="K151" s="504"/>
      <c r="L151" s="512"/>
      <c r="M151" s="504">
        <f t="shared" si="30"/>
        <v>0</v>
      </c>
      <c r="N151" s="512"/>
      <c r="O151" s="504">
        <f t="shared" si="31"/>
        <v>0</v>
      </c>
      <c r="P151" s="504">
        <f t="shared" si="32"/>
        <v>0</v>
      </c>
    </row>
    <row r="152" spans="2:16">
      <c r="B152" s="145" t="str">
        <f t="shared" si="17"/>
        <v/>
      </c>
      <c r="C152" s="495">
        <f>IF(D94="","-",+C151+1)</f>
        <v>2069</v>
      </c>
      <c r="D152" s="349">
        <f>IF(F151+SUM(E$100:E151)=D$93,F151,D$93-SUM(E$100:E151))</f>
        <v>0</v>
      </c>
      <c r="E152" s="509">
        <f t="shared" si="33"/>
        <v>0</v>
      </c>
      <c r="F152" s="510">
        <f t="shared" si="27"/>
        <v>0</v>
      </c>
      <c r="G152" s="510">
        <f t="shared" si="28"/>
        <v>0</v>
      </c>
      <c r="H152" s="627">
        <f t="shared" si="25"/>
        <v>0</v>
      </c>
      <c r="I152" s="628">
        <f t="shared" si="26"/>
        <v>0</v>
      </c>
      <c r="J152" s="504">
        <f t="shared" si="29"/>
        <v>0</v>
      </c>
      <c r="K152" s="504"/>
      <c r="L152" s="512"/>
      <c r="M152" s="504">
        <f t="shared" si="30"/>
        <v>0</v>
      </c>
      <c r="N152" s="512"/>
      <c r="O152" s="504">
        <f t="shared" si="31"/>
        <v>0</v>
      </c>
      <c r="P152" s="504">
        <f t="shared" si="32"/>
        <v>0</v>
      </c>
    </row>
    <row r="153" spans="2:16">
      <c r="B153" s="145" t="str">
        <f t="shared" si="17"/>
        <v/>
      </c>
      <c r="C153" s="495">
        <f>IF(D94="","-",+C152+1)</f>
        <v>2070</v>
      </c>
      <c r="D153" s="349">
        <f>IF(F152+SUM(E$100:E152)=D$93,F152,D$93-SUM(E$100:E152))</f>
        <v>0</v>
      </c>
      <c r="E153" s="509">
        <f t="shared" si="33"/>
        <v>0</v>
      </c>
      <c r="F153" s="510">
        <f t="shared" si="27"/>
        <v>0</v>
      </c>
      <c r="G153" s="510">
        <f t="shared" si="28"/>
        <v>0</v>
      </c>
      <c r="H153" s="627">
        <f t="shared" si="25"/>
        <v>0</v>
      </c>
      <c r="I153" s="628">
        <f t="shared" si="26"/>
        <v>0</v>
      </c>
      <c r="J153" s="504">
        <f t="shared" si="29"/>
        <v>0</v>
      </c>
      <c r="K153" s="504"/>
      <c r="L153" s="512"/>
      <c r="M153" s="504">
        <f t="shared" si="30"/>
        <v>0</v>
      </c>
      <c r="N153" s="512"/>
      <c r="O153" s="504">
        <f t="shared" si="31"/>
        <v>0</v>
      </c>
      <c r="P153" s="504">
        <f t="shared" si="32"/>
        <v>0</v>
      </c>
    </row>
    <row r="154" spans="2:16">
      <c r="B154" s="145" t="str">
        <f t="shared" si="17"/>
        <v/>
      </c>
      <c r="C154" s="495">
        <f>IF(D94="","-",+C153+1)</f>
        <v>2071</v>
      </c>
      <c r="D154" s="349">
        <f>IF(F153+SUM(E$100:E153)=D$93,F153,D$93-SUM(E$100:E153))</f>
        <v>0</v>
      </c>
      <c r="E154" s="509">
        <f t="shared" si="33"/>
        <v>0</v>
      </c>
      <c r="F154" s="510">
        <f t="shared" si="27"/>
        <v>0</v>
      </c>
      <c r="G154" s="510">
        <f t="shared" si="28"/>
        <v>0</v>
      </c>
      <c r="H154" s="627">
        <f t="shared" si="25"/>
        <v>0</v>
      </c>
      <c r="I154" s="628">
        <f t="shared" si="26"/>
        <v>0</v>
      </c>
      <c r="J154" s="504">
        <f t="shared" si="29"/>
        <v>0</v>
      </c>
      <c r="K154" s="504"/>
      <c r="L154" s="512"/>
      <c r="M154" s="504">
        <f t="shared" si="30"/>
        <v>0</v>
      </c>
      <c r="N154" s="512"/>
      <c r="O154" s="504">
        <f t="shared" si="31"/>
        <v>0</v>
      </c>
      <c r="P154" s="504">
        <f t="shared" si="32"/>
        <v>0</v>
      </c>
    </row>
    <row r="155" spans="2:16" ht="13.5" thickBot="1">
      <c r="B155" s="145" t="str">
        <f t="shared" si="17"/>
        <v/>
      </c>
      <c r="C155" s="524">
        <f>IF(D94="","-",+C154+1)</f>
        <v>2072</v>
      </c>
      <c r="D155" s="638">
        <f>IF(F154+SUM(E$100:E154)=D$93,F154,D$93-SUM(E$100:E154))</f>
        <v>0</v>
      </c>
      <c r="E155" s="526">
        <f t="shared" si="33"/>
        <v>0</v>
      </c>
      <c r="F155" s="527">
        <f t="shared" si="27"/>
        <v>0</v>
      </c>
      <c r="G155" s="527">
        <f t="shared" si="28"/>
        <v>0</v>
      </c>
      <c r="H155" s="623">
        <f t="shared" si="25"/>
        <v>0</v>
      </c>
      <c r="I155" s="624">
        <f t="shared" si="26"/>
        <v>0</v>
      </c>
      <c r="J155" s="531">
        <f t="shared" si="29"/>
        <v>0</v>
      </c>
      <c r="K155" s="504"/>
      <c r="L155" s="530"/>
      <c r="M155" s="531">
        <f t="shared" si="30"/>
        <v>0</v>
      </c>
      <c r="N155" s="530"/>
      <c r="O155" s="531">
        <f t="shared" si="31"/>
        <v>0</v>
      </c>
      <c r="P155" s="531">
        <f t="shared" si="32"/>
        <v>0</v>
      </c>
    </row>
    <row r="156" spans="2:16">
      <c r="C156" s="349" t="s">
        <v>75</v>
      </c>
      <c r="D156" s="294"/>
      <c r="E156" s="294">
        <f>SUM(E100:E155)</f>
        <v>9662740</v>
      </c>
      <c r="F156" s="294"/>
      <c r="G156" s="294"/>
      <c r="H156" s="294">
        <f>SUM(H100:H155)</f>
        <v>22516109.80772477</v>
      </c>
      <c r="I156" s="294">
        <f>SUM(I100:I155)</f>
        <v>22516109.80772477</v>
      </c>
      <c r="J156" s="294">
        <f>SUM(J100:J155)</f>
        <v>0</v>
      </c>
      <c r="K156" s="294"/>
      <c r="L156" s="294"/>
      <c r="M156" s="294"/>
      <c r="N156" s="294"/>
      <c r="O156" s="294"/>
      <c r="P156" s="243"/>
    </row>
    <row r="157" spans="2:16">
      <c r="C157" s="145" t="s">
        <v>90</v>
      </c>
      <c r="D157" s="292"/>
      <c r="E157" s="243"/>
      <c r="F157" s="243"/>
      <c r="G157" s="243"/>
      <c r="H157" s="243"/>
      <c r="I157" s="325"/>
      <c r="J157" s="325"/>
      <c r="K157" s="294"/>
      <c r="L157" s="325"/>
      <c r="M157" s="325"/>
      <c r="N157" s="325"/>
      <c r="O157" s="325"/>
      <c r="P157" s="243"/>
    </row>
    <row r="158" spans="2:16">
      <c r="C158" s="574"/>
      <c r="D158" s="292"/>
      <c r="E158" s="243"/>
      <c r="F158" s="243"/>
      <c r="G158" s="243"/>
      <c r="H158" s="243"/>
      <c r="I158" s="325"/>
      <c r="J158" s="325"/>
      <c r="K158" s="294"/>
      <c r="L158" s="325"/>
      <c r="M158" s="325"/>
      <c r="N158" s="325"/>
      <c r="O158" s="325"/>
      <c r="P158" s="243"/>
    </row>
    <row r="159" spans="2:16">
      <c r="C159" s="619" t="s">
        <v>130</v>
      </c>
      <c r="D159" s="292"/>
      <c r="E159" s="243"/>
      <c r="F159" s="243"/>
      <c r="G159" s="243"/>
      <c r="H159" s="243"/>
      <c r="I159" s="325"/>
      <c r="J159" s="325"/>
      <c r="K159" s="294"/>
      <c r="L159" s="325"/>
      <c r="M159" s="325"/>
      <c r="N159" s="325"/>
      <c r="O159" s="325"/>
      <c r="P159" s="243"/>
    </row>
    <row r="160" spans="2:16">
      <c r="C160" s="454" t="s">
        <v>76</v>
      </c>
      <c r="D160" s="349"/>
      <c r="E160" s="349"/>
      <c r="F160" s="349"/>
      <c r="G160" s="349"/>
      <c r="H160" s="294"/>
      <c r="I160" s="294"/>
      <c r="J160" s="350"/>
      <c r="K160" s="350"/>
      <c r="L160" s="350"/>
      <c r="M160" s="350"/>
      <c r="N160" s="350"/>
      <c r="O160" s="350"/>
      <c r="P160" s="243"/>
    </row>
    <row r="161" spans="3:16">
      <c r="C161" s="575" t="s">
        <v>77</v>
      </c>
      <c r="D161" s="349"/>
      <c r="E161" s="349"/>
      <c r="F161" s="349"/>
      <c r="G161" s="349"/>
      <c r="H161" s="294"/>
      <c r="I161" s="294"/>
      <c r="J161" s="350"/>
      <c r="K161" s="350"/>
      <c r="L161" s="350"/>
      <c r="M161" s="350"/>
      <c r="N161" s="350"/>
      <c r="O161" s="350"/>
      <c r="P161" s="243"/>
    </row>
    <row r="162" spans="3:16">
      <c r="C162" s="575"/>
      <c r="D162" s="349"/>
      <c r="E162" s="349"/>
      <c r="F162" s="349"/>
      <c r="G162" s="349"/>
      <c r="H162" s="294"/>
      <c r="I162" s="294"/>
      <c r="J162" s="350"/>
      <c r="K162" s="350"/>
      <c r="L162" s="350"/>
      <c r="M162" s="350"/>
      <c r="N162" s="350"/>
      <c r="O162" s="350"/>
      <c r="P162" s="243"/>
    </row>
    <row r="163" spans="3:16" ht="18">
      <c r="C163" s="575"/>
      <c r="D163" s="349"/>
      <c r="E163" s="349"/>
      <c r="F163" s="349"/>
      <c r="G163" s="349"/>
      <c r="H163" s="294"/>
      <c r="I163" s="294"/>
      <c r="J163" s="350"/>
      <c r="K163" s="350"/>
      <c r="L163" s="350"/>
      <c r="M163" s="350"/>
      <c r="N163" s="350"/>
      <c r="P163" s="583" t="s">
        <v>129</v>
      </c>
    </row>
  </sheetData>
  <conditionalFormatting sqref="C17:C71 C73">
    <cfRule type="cellIs" dxfId="26" priority="2" stopIfTrue="1" operator="equal">
      <formula>$I$10</formula>
    </cfRule>
  </conditionalFormatting>
  <conditionalFormatting sqref="C100:C155">
    <cfRule type="cellIs" dxfId="25" priority="3" stopIfTrue="1" operator="equal">
      <formula>$J$93</formula>
    </cfRule>
  </conditionalFormatting>
  <conditionalFormatting sqref="C72">
    <cfRule type="cellIs" dxfId="24"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dimension ref="A1:U134"/>
  <sheetViews>
    <sheetView topLeftCell="O109" zoomScale="80" zoomScaleNormal="80" zoomScaleSheetLayoutView="90" workbookViewId="0"/>
  </sheetViews>
  <sheetFormatPr defaultColWidth="8.7109375" defaultRowHeight="12.75" customHeight="1"/>
  <cols>
    <col min="1" max="1" width="8.140625" style="145" customWidth="1"/>
    <col min="2" max="2" width="6.7109375" style="145" customWidth="1"/>
    <col min="3" max="3" width="23.28515625" style="145" customWidth="1"/>
    <col min="4" max="8" width="17.7109375" style="145" customWidth="1"/>
    <col min="9" max="9" width="16.140625" style="145" customWidth="1"/>
    <col min="10" max="10" width="2.140625" style="145" customWidth="1"/>
    <col min="11" max="11" width="17.7109375" style="145" customWidth="1"/>
    <col min="12" max="12" width="16.140625" style="145" customWidth="1"/>
    <col min="13" max="13" width="17.7109375" style="145" customWidth="1"/>
    <col min="14" max="14" width="16.7109375" style="145" customWidth="1"/>
    <col min="15" max="15" width="22.42578125" style="145" customWidth="1"/>
    <col min="16" max="16" width="3.5703125" style="145" bestFit="1" customWidth="1"/>
    <col min="17" max="17" width="4.7109375" style="145" customWidth="1"/>
    <col min="18" max="18" width="15.42578125" style="145" customWidth="1"/>
    <col min="19" max="19" width="81.85546875" style="145" bestFit="1" customWidth="1"/>
    <col min="20" max="22" width="8.7109375" style="145"/>
    <col min="23" max="23" width="9.140625" style="145" customWidth="1"/>
    <col min="24" max="16384" width="8.7109375" style="145"/>
  </cols>
  <sheetData>
    <row r="1" spans="1:21" ht="18">
      <c r="A1" s="667" t="s">
        <v>109</v>
      </c>
      <c r="B1" s="668"/>
      <c r="C1" s="668"/>
      <c r="D1" s="668"/>
      <c r="E1" s="668"/>
      <c r="F1" s="668"/>
      <c r="G1" s="668"/>
      <c r="H1" s="668"/>
      <c r="I1" s="668"/>
      <c r="J1" s="668"/>
    </row>
    <row r="2" spans="1:21" ht="18">
      <c r="A2" s="670" t="str">
        <f>L19&amp;" Cost of Service Formula Rate Projected on "&amp;L19-1&amp;" FF1 Balances"</f>
        <v>2022 Cost of Service Formula Rate Projected on 2021 FF1 Balances</v>
      </c>
      <c r="B2" s="670"/>
      <c r="C2" s="670"/>
      <c r="D2" s="670"/>
      <c r="E2" s="670"/>
      <c r="F2" s="670"/>
      <c r="G2" s="670"/>
      <c r="H2" s="670"/>
      <c r="I2" s="670"/>
      <c r="J2" s="670"/>
    </row>
    <row r="3" spans="1:21" ht="18">
      <c r="A3" s="669" t="s">
        <v>124</v>
      </c>
      <c r="B3" s="670"/>
      <c r="C3" s="670"/>
      <c r="D3" s="670"/>
      <c r="E3" s="670"/>
      <c r="F3" s="670"/>
      <c r="G3" s="670"/>
      <c r="H3" s="670"/>
      <c r="I3" s="670"/>
      <c r="J3" s="670"/>
      <c r="Q3" s="232" t="s">
        <v>110</v>
      </c>
    </row>
    <row r="4" spans="1:21" ht="18">
      <c r="A4" s="670" t="str">
        <f>"Based on a Carrying Charge Derived from ""Historic"" "&amp;L19-1&amp;" Data"</f>
        <v>Based on a Carrying Charge Derived from "Historic" 2021 Data</v>
      </c>
      <c r="B4" s="670"/>
      <c r="C4" s="670"/>
      <c r="D4" s="670"/>
      <c r="E4" s="670"/>
      <c r="F4" s="670"/>
      <c r="G4" s="670"/>
      <c r="H4" s="670"/>
      <c r="I4" s="670"/>
      <c r="J4" s="670"/>
      <c r="K4" s="670"/>
    </row>
    <row r="5" spans="1:21" ht="18">
      <c r="A5" s="671" t="s">
        <v>188</v>
      </c>
      <c r="B5" s="671"/>
      <c r="C5" s="671"/>
      <c r="D5" s="671"/>
      <c r="E5" s="671"/>
      <c r="F5" s="671"/>
      <c r="G5" s="671"/>
      <c r="H5" s="671"/>
      <c r="I5" s="671"/>
      <c r="J5" s="671"/>
    </row>
    <row r="6" spans="1:21" ht="18">
      <c r="A6" s="151"/>
      <c r="B6" s="151"/>
      <c r="C6" s="151"/>
      <c r="D6" s="151"/>
      <c r="E6" s="151"/>
      <c r="F6" s="151"/>
      <c r="G6" s="151"/>
      <c r="H6" s="151"/>
      <c r="I6" s="151"/>
      <c r="J6" s="151"/>
    </row>
    <row r="7" spans="1:21">
      <c r="D7" s="157"/>
      <c r="H7" s="212"/>
      <c r="J7" s="220"/>
    </row>
    <row r="8" spans="1:21" ht="33.75" customHeight="1">
      <c r="B8" s="233" t="s">
        <v>0</v>
      </c>
      <c r="C8" s="664" t="str">
        <f>"Calculate Return and Income Taxes with "&amp;F13&amp;" basis point ROE increase for Projects Qualified for Incentive."</f>
        <v>Calculate Return and Income Taxes with 0 basis point ROE increase for Projects Qualified for Incentive.</v>
      </c>
      <c r="D8" s="665"/>
      <c r="E8" s="665"/>
      <c r="F8" s="665"/>
      <c r="G8" s="665"/>
      <c r="H8" s="665"/>
      <c r="J8" s="220"/>
      <c r="R8" s="234"/>
    </row>
    <row r="9" spans="1:21">
      <c r="D9" s="157"/>
      <c r="H9" s="212"/>
      <c r="J9" s="220"/>
    </row>
    <row r="10" spans="1:21" ht="15.75">
      <c r="C10" s="235" t="str">
        <f>"A.   Determine 'R' with hypothetical "&amp;F13&amp;" basis point increase in ROE for Identified Projects"</f>
        <v>A.   Determine 'R' with hypothetical 0 basis point increase in ROE for Identified Projects</v>
      </c>
      <c r="D10" s="157"/>
      <c r="H10" s="212"/>
      <c r="J10" s="220"/>
    </row>
    <row r="11" spans="1:21">
      <c r="D11" s="157"/>
      <c r="H11" s="212"/>
      <c r="J11" s="220"/>
    </row>
    <row r="12" spans="1:21">
      <c r="C12" s="236" t="str">
        <f>S102</f>
        <v xml:space="preserve">   ROE w/o incentives  (TCOS, ln 143)</v>
      </c>
      <c r="D12" s="157"/>
      <c r="E12" s="237"/>
      <c r="F12" s="238">
        <f>+R102</f>
        <v>0.105</v>
      </c>
      <c r="G12" s="239"/>
      <c r="H12" s="240"/>
      <c r="I12" s="241"/>
      <c r="J12" s="242"/>
      <c r="K12" s="241"/>
      <c r="L12" s="241"/>
      <c r="M12" s="241"/>
      <c r="N12" s="241"/>
      <c r="O12" s="237"/>
      <c r="P12" s="241"/>
      <c r="Q12" s="243"/>
      <c r="U12" s="244"/>
    </row>
    <row r="13" spans="1:21">
      <c r="C13" s="236" t="s">
        <v>1</v>
      </c>
      <c r="D13" s="157"/>
      <c r="E13" s="237"/>
      <c r="F13" s="245">
        <f>+R103</f>
        <v>0</v>
      </c>
      <c r="G13" s="145" t="s">
        <v>133</v>
      </c>
      <c r="K13" s="241"/>
      <c r="L13" s="241"/>
      <c r="M13" s="241"/>
      <c r="N13" s="241"/>
      <c r="O13" s="237"/>
      <c r="P13" s="241"/>
      <c r="Q13" s="243"/>
      <c r="U13" s="244"/>
    </row>
    <row r="14" spans="1:21" ht="13.5" thickBot="1">
      <c r="C14" s="236" t="str">
        <f>"   ROE with additional "&amp;F13&amp;" basis point incentive"</f>
        <v xml:space="preserve">   ROE with additional 0 basis point incentive</v>
      </c>
      <c r="D14" s="237"/>
      <c r="E14" s="237"/>
      <c r="F14" s="246">
        <f>IF((F12+(F13/10000)&gt;0.1245),"ERROR",F12+(F13/10000))</f>
        <v>0.105</v>
      </c>
      <c r="G14" s="247" t="s">
        <v>2</v>
      </c>
      <c r="H14" s="241"/>
      <c r="I14" s="241"/>
      <c r="J14" s="242"/>
      <c r="K14" s="241"/>
      <c r="L14" s="241"/>
      <c r="M14" s="241"/>
      <c r="N14" s="241"/>
      <c r="O14" s="237"/>
      <c r="P14" s="241"/>
      <c r="Q14" s="243"/>
      <c r="U14" s="248"/>
    </row>
    <row r="15" spans="1:21">
      <c r="C15" s="236" t="s">
        <v>3</v>
      </c>
      <c r="D15" s="157"/>
      <c r="E15" s="237"/>
      <c r="F15" s="246"/>
      <c r="G15" s="237"/>
      <c r="H15" s="241"/>
      <c r="I15" s="241"/>
      <c r="J15" s="242"/>
      <c r="K15" s="658" t="s">
        <v>4</v>
      </c>
      <c r="L15" s="659"/>
      <c r="M15" s="659"/>
      <c r="N15" s="659"/>
      <c r="O15" s="660"/>
      <c r="P15" s="241"/>
      <c r="Q15" s="243"/>
      <c r="U15" s="248"/>
    </row>
    <row r="16" spans="1:21">
      <c r="C16" s="242"/>
      <c r="D16" s="249" t="s">
        <v>5</v>
      </c>
      <c r="E16" s="249" t="s">
        <v>6</v>
      </c>
      <c r="F16" s="250" t="s">
        <v>7</v>
      </c>
      <c r="G16" s="237"/>
      <c r="H16" s="241"/>
      <c r="I16" s="241"/>
      <c r="J16" s="242"/>
      <c r="K16" s="661"/>
      <c r="L16" s="662"/>
      <c r="M16" s="662"/>
      <c r="N16" s="662"/>
      <c r="O16" s="663"/>
      <c r="P16" s="241"/>
      <c r="Q16" s="243"/>
    </row>
    <row r="17" spans="3:21">
      <c r="C17" s="251" t="s">
        <v>8</v>
      </c>
      <c r="D17" s="252">
        <f>+R104</f>
        <v>0.4524690885557221</v>
      </c>
      <c r="E17" s="253">
        <f>+R105</f>
        <v>4.0682834836160274E-2</v>
      </c>
      <c r="F17" s="254">
        <f>E17*D17</f>
        <v>1.840772519818042E-2</v>
      </c>
      <c r="G17" s="237"/>
      <c r="H17" s="241"/>
      <c r="I17" s="255"/>
      <c r="J17" s="256"/>
      <c r="K17" s="257"/>
      <c r="L17" s="258"/>
      <c r="M17" s="242" t="s">
        <v>9</v>
      </c>
      <c r="N17" s="242" t="s">
        <v>10</v>
      </c>
      <c r="O17" s="259" t="s">
        <v>11</v>
      </c>
      <c r="P17" s="241"/>
      <c r="Q17" s="243"/>
      <c r="U17" s="241"/>
    </row>
    <row r="18" spans="3:21">
      <c r="C18" s="251" t="s">
        <v>12</v>
      </c>
      <c r="D18" s="252">
        <f>+R106</f>
        <v>0</v>
      </c>
      <c r="E18" s="253">
        <f>+R107</f>
        <v>0</v>
      </c>
      <c r="F18" s="254">
        <f>E18*D18</f>
        <v>0</v>
      </c>
      <c r="G18" s="260"/>
      <c r="H18" s="260"/>
      <c r="I18" s="261"/>
      <c r="J18" s="262"/>
      <c r="K18" s="263"/>
      <c r="L18" s="220"/>
      <c r="M18" s="220"/>
      <c r="N18" s="220"/>
      <c r="O18" s="264"/>
      <c r="P18" s="260"/>
      <c r="Q18" s="243"/>
      <c r="U18" s="248"/>
    </row>
    <row r="19" spans="3:21" ht="13.5" thickBot="1">
      <c r="C19" s="265" t="s">
        <v>13</v>
      </c>
      <c r="D19" s="252">
        <f>+R108</f>
        <v>0.5475309114442779</v>
      </c>
      <c r="E19" s="253">
        <f>+F14</f>
        <v>0.105</v>
      </c>
      <c r="F19" s="266">
        <f>E19*D19</f>
        <v>5.7490745701649179E-2</v>
      </c>
      <c r="G19" s="260"/>
      <c r="H19" s="260"/>
      <c r="I19" s="246"/>
      <c r="J19" s="262"/>
      <c r="K19" s="267" t="s">
        <v>14</v>
      </c>
      <c r="L19" s="268">
        <f>R101</f>
        <v>2022</v>
      </c>
      <c r="M19" s="269">
        <f>SUM('OKT.001:OKT.xyz - blank'!N5)</f>
        <v>39969241.151666239</v>
      </c>
      <c r="N19" s="269">
        <f>SUM('OKT.001:OKT.xyz - blank'!N6)</f>
        <v>39969241.151666239</v>
      </c>
      <c r="O19" s="270">
        <f>+N19-M19</f>
        <v>0</v>
      </c>
      <c r="P19" s="261"/>
      <c r="Q19" s="243"/>
      <c r="U19" s="248"/>
    </row>
    <row r="20" spans="3:21">
      <c r="C20" s="236"/>
      <c r="D20" s="237"/>
      <c r="E20" s="271" t="s">
        <v>15</v>
      </c>
      <c r="F20" s="254">
        <f>SUM(F17:F19)</f>
        <v>7.5898470899829595E-2</v>
      </c>
      <c r="G20" s="260"/>
      <c r="H20" s="260"/>
      <c r="I20" s="261"/>
      <c r="J20" s="262"/>
      <c r="M20" s="272" t="str">
        <f>IF(M19=SUM('OKT.001:OKT.xyz - blank'!N5),"","ERROR")</f>
        <v/>
      </c>
      <c r="N20" s="272" t="str">
        <f>IF(N19=SUM('OKT.001:OKT.xyz - blank'!N6),"","ERROR")</f>
        <v/>
      </c>
      <c r="O20" s="272" t="str">
        <f>IF(O19=SUM('OKT.001:OKT.xyz - blank'!N7),"","ERROR")</f>
        <v/>
      </c>
      <c r="P20" s="260"/>
      <c r="Q20" s="243"/>
      <c r="U20" s="248"/>
    </row>
    <row r="21" spans="3:21">
      <c r="D21" s="273"/>
      <c r="E21" s="273"/>
      <c r="F21" s="260"/>
      <c r="G21" s="260"/>
      <c r="H21" s="260"/>
      <c r="I21" s="260"/>
      <c r="J21" s="274"/>
      <c r="K21" s="175" t="s">
        <v>16</v>
      </c>
      <c r="P21" s="260"/>
      <c r="Q21" s="243"/>
      <c r="U21" s="248"/>
    </row>
    <row r="22" spans="3:21" ht="15.75">
      <c r="C22" s="235" t="str">
        <f>"B.   Determine Return using 'R' with hypothetical "&amp;F13&amp;" basis point ROE increase for Identified Projects."</f>
        <v>B.   Determine Return using 'R' with hypothetical 0 basis point ROE increase for Identified Projects.</v>
      </c>
      <c r="D22" s="273"/>
      <c r="E22" s="273"/>
      <c r="F22" s="275"/>
      <c r="G22" s="260"/>
      <c r="H22" s="237"/>
      <c r="I22" s="260"/>
      <c r="J22" s="274"/>
      <c r="K22" s="145" t="s">
        <v>17</v>
      </c>
      <c r="P22" s="260"/>
      <c r="Q22" s="243"/>
      <c r="U22" s="248"/>
    </row>
    <row r="23" spans="3:21">
      <c r="C23" s="242"/>
      <c r="D23" s="273"/>
      <c r="E23" s="273"/>
      <c r="F23" s="274"/>
      <c r="G23" s="274"/>
      <c r="H23" s="274"/>
      <c r="I23" s="274"/>
      <c r="J23" s="274"/>
      <c r="K23" s="261"/>
      <c r="L23" s="276"/>
      <c r="M23" s="277"/>
      <c r="N23" s="261"/>
      <c r="O23" s="260"/>
      <c r="P23" s="274"/>
      <c r="Q23" s="278"/>
      <c r="U23" s="248"/>
    </row>
    <row r="24" spans="3:21">
      <c r="C24" s="236" t="str">
        <f>+S109</f>
        <v xml:space="preserve">   Rate Base  (TCOS, ln 63)</v>
      </c>
      <c r="D24" s="237"/>
      <c r="E24" s="279">
        <f>+R109</f>
        <v>1097562635.6731257</v>
      </c>
      <c r="F24" s="280"/>
      <c r="G24" s="274"/>
      <c r="H24" s="274"/>
      <c r="I24" s="274"/>
      <c r="J24" s="274"/>
      <c r="K24" s="274"/>
      <c r="L24" s="274"/>
      <c r="M24" s="274"/>
      <c r="N24" s="274"/>
      <c r="O24" s="274"/>
      <c r="P24" s="280"/>
      <c r="Q24" s="278"/>
      <c r="U24" s="248"/>
    </row>
    <row r="25" spans="3:21">
      <c r="C25" s="242" t="s">
        <v>18</v>
      </c>
      <c r="D25" s="239"/>
      <c r="E25" s="281">
        <f>F20</f>
        <v>7.5898470899829595E-2</v>
      </c>
      <c r="F25" s="274"/>
      <c r="G25" s="274"/>
      <c r="H25" s="274"/>
      <c r="I25" s="274"/>
      <c r="J25" s="274"/>
      <c r="K25" s="274"/>
      <c r="L25" s="274"/>
      <c r="M25" s="282"/>
      <c r="N25" s="274"/>
      <c r="O25" s="274"/>
      <c r="P25" s="274"/>
      <c r="Q25" s="278"/>
      <c r="U25" s="248"/>
    </row>
    <row r="26" spans="3:21">
      <c r="C26" s="283" t="s">
        <v>19</v>
      </c>
      <c r="D26" s="283"/>
      <c r="E26" s="261">
        <f>E24*E25</f>
        <v>83303325.764377013</v>
      </c>
      <c r="F26" s="274"/>
      <c r="G26" s="274"/>
      <c r="H26" s="274"/>
      <c r="I26" s="262"/>
      <c r="J26" s="262"/>
      <c r="K26" s="262"/>
      <c r="L26" s="262"/>
      <c r="M26" s="262"/>
      <c r="N26" s="262"/>
      <c r="O26" s="274"/>
      <c r="P26" s="274"/>
      <c r="Q26" s="278"/>
      <c r="U26" s="248"/>
    </row>
    <row r="27" spans="3:21">
      <c r="C27" s="284"/>
      <c r="D27" s="241"/>
      <c r="E27" s="241"/>
      <c r="F27" s="274"/>
      <c r="G27" s="274"/>
      <c r="H27" s="274"/>
      <c r="I27" s="262"/>
      <c r="J27" s="262"/>
      <c r="K27" s="262"/>
      <c r="L27" s="262"/>
      <c r="M27" s="262"/>
      <c r="N27" s="262"/>
      <c r="O27" s="274"/>
      <c r="P27" s="274"/>
      <c r="Q27" s="278"/>
      <c r="U27" s="248"/>
    </row>
    <row r="28" spans="3:21" ht="15.75">
      <c r="C28" s="235" t="str">
        <f>"C.   Determine Income Taxes using Return with hypothetical "&amp;F13&amp;" basis point ROE increase for Identified Projects."</f>
        <v>C.   Determine Income Taxes using Return with hypothetical 0 basis point ROE increase for Identified Projects.</v>
      </c>
      <c r="D28" s="285"/>
      <c r="E28" s="285"/>
      <c r="F28" s="286"/>
      <c r="G28" s="286"/>
      <c r="H28" s="286"/>
      <c r="I28" s="287"/>
      <c r="J28" s="287"/>
      <c r="K28" s="287"/>
      <c r="L28" s="287"/>
      <c r="M28" s="287"/>
      <c r="N28" s="287"/>
      <c r="O28" s="286"/>
      <c r="P28" s="286"/>
      <c r="Q28" s="278"/>
      <c r="U28" s="248"/>
    </row>
    <row r="29" spans="3:21">
      <c r="C29" s="236"/>
      <c r="D29" s="241"/>
      <c r="E29" s="241"/>
      <c r="F29" s="274"/>
      <c r="G29" s="274"/>
      <c r="H29" s="274"/>
      <c r="I29" s="262"/>
      <c r="J29" s="262"/>
      <c r="K29" s="262"/>
      <c r="L29" s="262"/>
      <c r="M29" s="262"/>
      <c r="N29" s="262"/>
      <c r="O29" s="274"/>
      <c r="P29" s="274"/>
      <c r="Q29" s="278"/>
      <c r="U29" s="288"/>
    </row>
    <row r="30" spans="3:21">
      <c r="C30" s="242" t="s">
        <v>20</v>
      </c>
      <c r="D30" s="289"/>
      <c r="E30" s="290">
        <f>E26</f>
        <v>83303325.764377013</v>
      </c>
      <c r="F30" s="274"/>
      <c r="G30" s="274"/>
      <c r="H30" s="274"/>
      <c r="I30" s="274"/>
      <c r="J30" s="274"/>
      <c r="K30" s="274"/>
      <c r="L30" s="274"/>
      <c r="M30" s="274"/>
      <c r="N30" s="274"/>
      <c r="O30" s="274"/>
      <c r="P30" s="274"/>
      <c r="Q30" s="278"/>
      <c r="U30" s="248"/>
    </row>
    <row r="31" spans="3:21">
      <c r="C31" s="236" t="str">
        <f>+S110</f>
        <v xml:space="preserve">   Tax Rate  (TCOS, ln 99)</v>
      </c>
      <c r="D31" s="289"/>
      <c r="E31" s="291">
        <f>+R110</f>
        <v>0.24160000000000004</v>
      </c>
      <c r="F31" s="274"/>
      <c r="G31" s="274"/>
      <c r="H31" s="274"/>
      <c r="I31" s="274"/>
      <c r="J31" s="274"/>
      <c r="K31" s="274"/>
      <c r="L31" s="274"/>
      <c r="M31" s="274"/>
      <c r="N31" s="274"/>
      <c r="O31" s="274"/>
      <c r="P31" s="274"/>
      <c r="Q31" s="278"/>
      <c r="R31" s="220"/>
      <c r="S31" s="220"/>
      <c r="T31" s="220"/>
      <c r="U31" s="248"/>
    </row>
    <row r="32" spans="3:21">
      <c r="C32" s="242" t="s">
        <v>21</v>
      </c>
      <c r="D32" s="292"/>
      <c r="E32" s="246">
        <f>IF(F17&gt;0,($E31/(1-$E31))*(1-$F17/$F20),0)</f>
        <v>0.24130344435306231</v>
      </c>
      <c r="F32" s="278"/>
      <c r="G32" s="293"/>
      <c r="H32" s="294"/>
      <c r="I32" s="278"/>
      <c r="J32" s="278"/>
      <c r="K32" s="278"/>
      <c r="L32" s="278"/>
      <c r="M32" s="278"/>
      <c r="N32" s="278"/>
      <c r="O32" s="278"/>
      <c r="P32" s="278"/>
      <c r="Q32" s="278"/>
      <c r="R32" s="220"/>
      <c r="S32" s="220"/>
      <c r="T32" s="220"/>
      <c r="U32" s="248"/>
    </row>
    <row r="33" spans="2:21">
      <c r="C33" s="295" t="s">
        <v>22</v>
      </c>
      <c r="D33" s="296"/>
      <c r="E33" s="297">
        <f>E30*E32</f>
        <v>20101379.433009371</v>
      </c>
      <c r="F33" s="298"/>
      <c r="G33" s="278"/>
      <c r="H33" s="294"/>
      <c r="I33" s="278"/>
      <c r="J33" s="278"/>
      <c r="K33" s="278"/>
      <c r="L33" s="278"/>
      <c r="M33" s="278"/>
      <c r="N33" s="278"/>
      <c r="O33" s="278"/>
      <c r="P33" s="278"/>
      <c r="Q33" s="278"/>
      <c r="R33" s="220"/>
      <c r="S33" s="220"/>
      <c r="T33" s="220"/>
      <c r="U33" s="299"/>
    </row>
    <row r="34" spans="2:21">
      <c r="C34" s="283" t="s">
        <v>274</v>
      </c>
      <c r="D34" s="321"/>
      <c r="E34" s="298">
        <f>+R112</f>
        <v>1311651.7140740554</v>
      </c>
      <c r="F34" s="298"/>
      <c r="G34" s="278"/>
      <c r="H34" s="294"/>
      <c r="I34" s="278"/>
      <c r="J34" s="278"/>
      <c r="K34" s="278"/>
      <c r="L34" s="278"/>
      <c r="M34" s="278"/>
      <c r="N34" s="278"/>
      <c r="O34" s="278"/>
      <c r="P34" s="278"/>
      <c r="Q34" s="278"/>
      <c r="R34" s="220"/>
      <c r="S34" s="220"/>
      <c r="T34" s="220"/>
      <c r="U34" s="299"/>
    </row>
    <row r="35" spans="2:21" ht="15">
      <c r="C35" s="236" t="s">
        <v>286</v>
      </c>
      <c r="D35" s="300"/>
      <c r="E35" s="298">
        <f>+R113</f>
        <v>249555.68473101265</v>
      </c>
      <c r="F35" s="300"/>
      <c r="G35" s="300"/>
      <c r="H35" s="300"/>
      <c r="I35" s="300"/>
      <c r="J35" s="300"/>
      <c r="K35" s="300"/>
      <c r="L35" s="300"/>
      <c r="M35" s="300"/>
      <c r="N35" s="300"/>
      <c r="O35" s="300"/>
      <c r="P35" s="302"/>
      <c r="Q35" s="300"/>
      <c r="R35" s="220"/>
      <c r="S35" s="220"/>
      <c r="T35" s="220"/>
      <c r="U35" s="288"/>
    </row>
    <row r="36" spans="2:21" ht="15">
      <c r="C36" s="284" t="s">
        <v>23</v>
      </c>
      <c r="D36" s="300"/>
      <c r="E36" s="301">
        <f>SUM(E33:E35)</f>
        <v>21662586.831814442</v>
      </c>
      <c r="F36" s="300"/>
      <c r="G36" s="300"/>
      <c r="H36" s="300"/>
      <c r="I36" s="300"/>
      <c r="J36" s="300"/>
      <c r="K36" s="300"/>
      <c r="L36" s="300"/>
      <c r="M36" s="300"/>
      <c r="N36" s="300"/>
      <c r="O36" s="300"/>
      <c r="P36" s="303"/>
      <c r="Q36" s="300"/>
      <c r="U36" s="243"/>
    </row>
    <row r="37" spans="2:21" ht="12.75" customHeight="1">
      <c r="C37" s="304"/>
      <c r="D37" s="300"/>
      <c r="E37" s="300"/>
      <c r="F37" s="300"/>
      <c r="G37" s="300"/>
      <c r="H37" s="300"/>
      <c r="I37" s="300"/>
      <c r="J37" s="300"/>
      <c r="K37" s="300"/>
      <c r="L37" s="300"/>
      <c r="M37" s="300"/>
      <c r="N37" s="300"/>
      <c r="O37" s="300"/>
      <c r="P37" s="303"/>
      <c r="Q37" s="300"/>
      <c r="R37" s="243"/>
      <c r="S37" s="243"/>
      <c r="T37" s="243"/>
      <c r="U37" s="243"/>
    </row>
    <row r="38" spans="2:21" ht="18.75">
      <c r="B38" s="233" t="s">
        <v>24</v>
      </c>
      <c r="C38" s="305" t="str">
        <f>"Calculate Net Plant Carrying Charge Rate (Fixed Charge Rate or FCR) with hypothetical "&amp;F13&amp;" basis point"</f>
        <v>Calculate Net Plant Carrying Charge Rate (Fixed Charge Rate or FCR) with hypothetical 0 basis point</v>
      </c>
      <c r="D38" s="300"/>
      <c r="E38" s="300"/>
      <c r="F38" s="300"/>
      <c r="G38" s="300"/>
      <c r="H38" s="300"/>
      <c r="I38" s="300"/>
      <c r="J38" s="300"/>
      <c r="K38" s="300"/>
      <c r="L38" s="300"/>
      <c r="M38" s="300"/>
      <c r="N38" s="300"/>
      <c r="O38" s="300"/>
      <c r="P38" s="303"/>
      <c r="Q38" s="300"/>
      <c r="R38" s="243"/>
      <c r="S38" s="243"/>
      <c r="T38" s="243"/>
      <c r="U38" s="243"/>
    </row>
    <row r="39" spans="2:21" ht="15.75" customHeight="1">
      <c r="B39" s="233"/>
      <c r="C39" s="305" t="str">
        <f>"ROE increase."</f>
        <v>ROE increase.</v>
      </c>
      <c r="D39" s="300"/>
      <c r="E39" s="300"/>
      <c r="F39" s="300"/>
      <c r="G39" s="300"/>
      <c r="H39" s="300"/>
      <c r="I39" s="300"/>
      <c r="J39" s="300"/>
      <c r="K39" s="300"/>
      <c r="L39" s="300"/>
      <c r="M39" s="300"/>
      <c r="N39" s="300"/>
      <c r="O39" s="300"/>
      <c r="P39" s="303"/>
      <c r="Q39" s="300"/>
      <c r="R39" s="243"/>
      <c r="S39" s="243"/>
      <c r="T39" s="243"/>
      <c r="U39" s="243"/>
    </row>
    <row r="40" spans="2:21" ht="12.75" customHeight="1">
      <c r="C40" s="304"/>
      <c r="D40" s="300"/>
      <c r="E40" s="300"/>
      <c r="F40" s="300"/>
      <c r="G40" s="300"/>
      <c r="H40" s="300"/>
      <c r="I40" s="300"/>
      <c r="J40" s="300"/>
      <c r="K40" s="300"/>
      <c r="L40" s="300"/>
      <c r="M40" s="300"/>
      <c r="N40" s="300"/>
      <c r="O40" s="300"/>
      <c r="P40" s="303"/>
      <c r="Q40" s="300"/>
      <c r="R40" s="243"/>
      <c r="S40" s="243"/>
      <c r="T40" s="243"/>
      <c r="U40" s="243"/>
    </row>
    <row r="41" spans="2:21" ht="15.75">
      <c r="B41" s="243"/>
      <c r="C41" s="306" t="s">
        <v>240</v>
      </c>
      <c r="D41" s="307"/>
      <c r="E41" s="307"/>
      <c r="F41" s="307"/>
      <c r="G41" s="307"/>
      <c r="H41" s="307"/>
      <c r="I41" s="307"/>
      <c r="J41" s="307"/>
      <c r="K41" s="307"/>
      <c r="L41" s="307"/>
      <c r="M41" s="307"/>
      <c r="N41" s="307"/>
      <c r="O41" s="307"/>
      <c r="P41" s="301"/>
      <c r="Q41" s="307"/>
      <c r="R41" s="243"/>
      <c r="S41" s="243"/>
      <c r="T41" s="243"/>
      <c r="U41" s="243"/>
    </row>
    <row r="42" spans="2:21" ht="15.75">
      <c r="B42" s="243"/>
      <c r="C42" s="306"/>
      <c r="D42" s="307"/>
      <c r="E42" s="307"/>
      <c r="F42" s="307"/>
      <c r="G42" s="307"/>
      <c r="H42" s="307"/>
      <c r="I42" s="307"/>
      <c r="J42" s="307"/>
      <c r="K42" s="307"/>
      <c r="L42" s="307"/>
      <c r="M42" s="307"/>
      <c r="N42" s="307"/>
      <c r="O42" s="307"/>
      <c r="P42" s="301"/>
      <c r="Q42" s="307"/>
      <c r="R42" s="243"/>
      <c r="S42" s="243"/>
      <c r="T42" s="243"/>
      <c r="U42" s="243"/>
    </row>
    <row r="43" spans="2:21" ht="12.75" customHeight="1">
      <c r="B43" s="243"/>
      <c r="C43" s="236" t="str">
        <f>+S114</f>
        <v xml:space="preserve">   Net Revenue Requirement  (TCOS, ln 117)</v>
      </c>
      <c r="D43" s="307"/>
      <c r="E43" s="307"/>
      <c r="F43" s="301">
        <f>+R114</f>
        <v>184155821.47548768</v>
      </c>
      <c r="G43" s="307"/>
      <c r="H43" s="307"/>
      <c r="I43" s="307"/>
      <c r="J43" s="307"/>
      <c r="K43" s="307"/>
      <c r="L43" s="307"/>
      <c r="M43" s="307"/>
      <c r="N43" s="307"/>
      <c r="O43" s="307"/>
      <c r="P43" s="301"/>
      <c r="Q43" s="307"/>
      <c r="R43" s="243"/>
      <c r="S43" s="243"/>
      <c r="T43" s="243"/>
      <c r="U43" s="243"/>
    </row>
    <row r="44" spans="2:21">
      <c r="B44" s="243"/>
      <c r="C44" s="236" t="str">
        <f>+S115</f>
        <v xml:space="preserve">   Return  (TCOS, ln 112)</v>
      </c>
      <c r="D44" s="307"/>
      <c r="E44" s="307"/>
      <c r="F44" s="308">
        <f>+R115</f>
        <v>83303325.764377013</v>
      </c>
      <c r="G44" s="309"/>
      <c r="H44" s="309"/>
      <c r="I44" s="309"/>
      <c r="J44" s="309"/>
      <c r="K44" s="309"/>
      <c r="L44" s="309"/>
      <c r="M44" s="309"/>
      <c r="N44" s="309"/>
      <c r="O44" s="309"/>
      <c r="P44" s="301"/>
      <c r="Q44" s="307"/>
      <c r="R44" s="243"/>
      <c r="S44" s="243"/>
      <c r="T44" s="243"/>
      <c r="U44" s="243"/>
    </row>
    <row r="45" spans="2:21">
      <c r="B45" s="243"/>
      <c r="C45" s="236" t="str">
        <f>+S116</f>
        <v xml:space="preserve">   Income Taxes  (TCOS, ln 111)</v>
      </c>
      <c r="D45" s="307"/>
      <c r="E45" s="307"/>
      <c r="F45" s="301">
        <f>+R116</f>
        <v>21662586.831814442</v>
      </c>
      <c r="G45" s="307"/>
      <c r="H45" s="307"/>
      <c r="I45" s="310"/>
      <c r="J45" s="310"/>
      <c r="K45" s="310"/>
      <c r="L45" s="310"/>
      <c r="M45" s="310"/>
      <c r="N45" s="310"/>
      <c r="O45" s="307"/>
      <c r="P45" s="307"/>
      <c r="Q45" s="307"/>
      <c r="R45" s="243"/>
      <c r="S45" s="243"/>
      <c r="T45" s="243"/>
      <c r="U45" s="243"/>
    </row>
    <row r="46" spans="2:21">
      <c r="B46" s="243"/>
      <c r="C46" s="311" t="str">
        <f>+S117</f>
        <v xml:space="preserve">  Gross Margin Taxes  (TCOS, ln 116)</v>
      </c>
      <c r="D46" s="307"/>
      <c r="E46" s="307"/>
      <c r="F46" s="312">
        <f>+R117</f>
        <v>0</v>
      </c>
      <c r="G46" s="307"/>
      <c r="H46" s="307"/>
      <c r="I46" s="310"/>
      <c r="J46" s="310"/>
      <c r="K46" s="310"/>
      <c r="L46" s="310"/>
      <c r="M46" s="310"/>
      <c r="N46" s="310"/>
      <c r="O46" s="307"/>
      <c r="P46" s="307"/>
      <c r="Q46" s="307"/>
      <c r="R46" s="243"/>
      <c r="S46" s="243"/>
      <c r="T46" s="243"/>
      <c r="U46" s="243"/>
    </row>
    <row r="47" spans="2:21">
      <c r="B47" s="243"/>
      <c r="C47" s="248" t="s">
        <v>25</v>
      </c>
      <c r="D47" s="307"/>
      <c r="E47" s="307"/>
      <c r="F47" s="308">
        <f>F43-F44-F45-F46</f>
        <v>79189908.879296228</v>
      </c>
      <c r="G47" s="313"/>
      <c r="H47" s="307"/>
      <c r="I47" s="313"/>
      <c r="J47" s="313"/>
      <c r="K47" s="313"/>
      <c r="L47" s="313"/>
      <c r="M47" s="313"/>
      <c r="N47" s="313"/>
      <c r="O47" s="307"/>
      <c r="P47" s="313"/>
      <c r="Q47" s="307"/>
      <c r="R47" s="243"/>
      <c r="S47" s="243"/>
      <c r="T47" s="243"/>
      <c r="U47" s="243"/>
    </row>
    <row r="48" spans="2:21">
      <c r="B48" s="243"/>
      <c r="C48" s="311"/>
      <c r="D48" s="307"/>
      <c r="E48" s="307"/>
      <c r="F48" s="301"/>
      <c r="G48" s="314"/>
      <c r="H48" s="315"/>
      <c r="I48" s="315"/>
      <c r="J48" s="315"/>
      <c r="K48" s="315"/>
      <c r="L48" s="315"/>
      <c r="M48" s="315"/>
      <c r="N48" s="315"/>
      <c r="O48" s="316"/>
      <c r="P48" s="315"/>
      <c r="Q48" s="317"/>
      <c r="R48" s="243"/>
      <c r="S48" s="243"/>
      <c r="T48" s="243"/>
      <c r="U48" s="243"/>
    </row>
    <row r="49" spans="2:21" ht="15.75">
      <c r="B49" s="243"/>
      <c r="C49" s="235" t="str">
        <f>"B.   Determine Net Revenue Requirement with hypothetical "&amp;F13&amp;" basis point increase in ROE."</f>
        <v>B.   Determine Net Revenue Requirement with hypothetical 0 basis point increase in ROE.</v>
      </c>
      <c r="D49" s="316"/>
      <c r="E49" s="316"/>
      <c r="F49" s="301"/>
      <c r="G49" s="314"/>
      <c r="H49" s="315"/>
      <c r="I49" s="315"/>
      <c r="J49" s="315"/>
      <c r="K49" s="315"/>
      <c r="L49" s="315"/>
      <c r="M49" s="315"/>
      <c r="N49" s="315"/>
      <c r="O49" s="316"/>
      <c r="P49" s="315"/>
      <c r="Q49" s="307"/>
      <c r="T49" s="243"/>
      <c r="U49" s="243"/>
    </row>
    <row r="50" spans="2:21" ht="15.75">
      <c r="B50" s="243"/>
      <c r="C50" s="235"/>
      <c r="D50" s="316"/>
      <c r="E50" s="316"/>
      <c r="F50" s="301"/>
      <c r="G50" s="314"/>
      <c r="H50" s="315"/>
      <c r="I50" s="315"/>
      <c r="J50" s="315"/>
      <c r="K50" s="315"/>
      <c r="L50" s="315"/>
      <c r="M50" s="315"/>
      <c r="N50" s="315"/>
      <c r="O50" s="316"/>
      <c r="P50" s="315"/>
      <c r="Q50" s="307"/>
      <c r="T50" s="243"/>
      <c r="U50" s="243"/>
    </row>
    <row r="51" spans="2:21">
      <c r="B51" s="243"/>
      <c r="C51" s="311" t="str">
        <f>C47</f>
        <v xml:space="preserve">   Net Revenue Requirement, Less Return and Taxes</v>
      </c>
      <c r="D51" s="316"/>
      <c r="E51" s="316"/>
      <c r="F51" s="301">
        <f>F47</f>
        <v>79189908.879296228</v>
      </c>
      <c r="G51" s="307"/>
      <c r="H51" s="307"/>
      <c r="I51" s="307"/>
      <c r="J51" s="307"/>
      <c r="K51" s="307"/>
      <c r="L51" s="307"/>
      <c r="M51" s="307"/>
      <c r="N51" s="307"/>
      <c r="O51" s="318"/>
      <c r="P51" s="319"/>
      <c r="Q51" s="320"/>
      <c r="T51" s="243"/>
      <c r="U51" s="243"/>
    </row>
    <row r="52" spans="2:21">
      <c r="B52" s="243"/>
      <c r="C52" s="242" t="s">
        <v>92</v>
      </c>
      <c r="D52" s="321"/>
      <c r="E52" s="248"/>
      <c r="F52" s="322">
        <f>E26</f>
        <v>83303325.764377013</v>
      </c>
      <c r="G52" s="248"/>
      <c r="H52" s="323"/>
      <c r="I52" s="248"/>
      <c r="J52" s="248"/>
      <c r="K52" s="248"/>
      <c r="L52" s="248"/>
      <c r="M52" s="248"/>
      <c r="N52" s="248"/>
      <c r="O52" s="248"/>
      <c r="P52" s="248"/>
      <c r="Q52" s="248"/>
      <c r="T52" s="243"/>
      <c r="U52" s="243"/>
    </row>
    <row r="53" spans="2:21" ht="12.75" customHeight="1">
      <c r="B53" s="243"/>
      <c r="C53" s="236" t="s">
        <v>26</v>
      </c>
      <c r="D53" s="307"/>
      <c r="E53" s="307"/>
      <c r="F53" s="324">
        <f>E36</f>
        <v>21662586.831814442</v>
      </c>
      <c r="G53" s="243"/>
      <c r="H53" s="325"/>
      <c r="I53" s="243"/>
      <c r="J53" s="278"/>
      <c r="K53" s="243"/>
      <c r="L53" s="243"/>
      <c r="M53" s="243"/>
      <c r="N53" s="243"/>
      <c r="O53" s="243"/>
      <c r="P53" s="243"/>
      <c r="Q53" s="243"/>
      <c r="T53" s="243"/>
      <c r="U53" s="243"/>
    </row>
    <row r="54" spans="2:21">
      <c r="B54" s="243"/>
      <c r="C54" s="248" t="str">
        <f>"   Net Revenue Requirement, with "&amp;F13&amp;" Basis Point ROE increase"</f>
        <v xml:space="preserve">   Net Revenue Requirement, with 0 Basis Point ROE increase</v>
      </c>
      <c r="D54" s="292"/>
      <c r="E54" s="243"/>
      <c r="F54" s="326">
        <f>SUM(F51:F53)</f>
        <v>184155821.47548768</v>
      </c>
      <c r="G54" s="243"/>
      <c r="H54" s="325"/>
      <c r="I54" s="243"/>
      <c r="J54" s="278"/>
      <c r="K54" s="243"/>
      <c r="L54" s="243"/>
      <c r="M54" s="243"/>
      <c r="N54" s="243"/>
      <c r="O54" s="243"/>
      <c r="P54" s="243"/>
      <c r="Q54" s="243"/>
      <c r="R54" s="243"/>
      <c r="S54" s="243"/>
      <c r="T54" s="243"/>
      <c r="U54" s="243"/>
    </row>
    <row r="55" spans="2:21">
      <c r="B55" s="243"/>
      <c r="C55" s="299" t="str">
        <f>"   Gross Margin Tax with "&amp;F13&amp;" Basis Point ROE Increase (II C. below)"</f>
        <v xml:space="preserve">   Gross Margin Tax with 0 Basis Point ROE Increase (II C. below)</v>
      </c>
      <c r="D55" s="327"/>
      <c r="E55" s="327"/>
      <c r="F55" s="328">
        <f>+F70</f>
        <v>0</v>
      </c>
      <c r="G55" s="243"/>
      <c r="H55" s="325"/>
      <c r="I55" s="243"/>
      <c r="J55" s="278"/>
      <c r="K55" s="243"/>
      <c r="L55" s="243"/>
      <c r="M55" s="243"/>
      <c r="N55" s="243"/>
      <c r="O55" s="243"/>
      <c r="P55" s="243"/>
      <c r="Q55" s="243"/>
      <c r="R55" s="243"/>
      <c r="S55" s="243"/>
      <c r="T55" s="243"/>
      <c r="U55" s="243"/>
    </row>
    <row r="56" spans="2:21">
      <c r="B56" s="243"/>
      <c r="C56" s="248" t="s">
        <v>27</v>
      </c>
      <c r="D56" s="292"/>
      <c r="E56" s="243"/>
      <c r="F56" s="298">
        <f>+F54+F55</f>
        <v>184155821.47548768</v>
      </c>
      <c r="G56" s="243"/>
      <c r="H56" s="325"/>
      <c r="I56" s="243"/>
      <c r="J56" s="278"/>
      <c r="K56" s="243"/>
      <c r="L56" s="243"/>
      <c r="M56" s="243"/>
      <c r="N56" s="243"/>
      <c r="O56" s="243"/>
      <c r="P56" s="243"/>
      <c r="Q56" s="243"/>
      <c r="R56" s="243"/>
      <c r="S56" s="243"/>
      <c r="T56" s="243"/>
      <c r="U56" s="243"/>
    </row>
    <row r="57" spans="2:21">
      <c r="B57" s="243"/>
      <c r="C57" s="236" t="str">
        <f>+S118</f>
        <v xml:space="preserve">   Less: Depreciation  (TCOS, ln 86)</v>
      </c>
      <c r="D57" s="292"/>
      <c r="E57" s="243"/>
      <c r="F57" s="329">
        <f>+R118</f>
        <v>42943214.808296099</v>
      </c>
      <c r="G57" s="243"/>
      <c r="H57" s="325"/>
      <c r="I57" s="243"/>
      <c r="J57" s="278"/>
      <c r="K57" s="243"/>
      <c r="L57" s="243"/>
      <c r="M57" s="243"/>
      <c r="N57" s="243"/>
      <c r="O57" s="243"/>
      <c r="P57" s="243"/>
      <c r="Q57" s="243"/>
      <c r="R57" s="243"/>
      <c r="S57" s="243"/>
      <c r="T57" s="243"/>
      <c r="U57" s="243"/>
    </row>
    <row r="58" spans="2:21">
      <c r="B58" s="243"/>
      <c r="C58" s="248" t="str">
        <f>"   Net Rev. Req, w/"&amp;F13&amp;" Basis Point ROE increase, less Depreciation"</f>
        <v xml:space="preserve">   Net Rev. Req, w/0 Basis Point ROE increase, less Depreciation</v>
      </c>
      <c r="D58" s="292"/>
      <c r="E58" s="243"/>
      <c r="F58" s="326">
        <f>F56-F57</f>
        <v>141212606.66719157</v>
      </c>
      <c r="G58" s="243"/>
      <c r="H58" s="325"/>
      <c r="I58" s="243"/>
      <c r="J58" s="278"/>
      <c r="K58" s="243"/>
      <c r="L58" s="243"/>
      <c r="M58" s="243"/>
      <c r="N58" s="243"/>
      <c r="O58" s="243"/>
      <c r="P58" s="243"/>
      <c r="Q58" s="243"/>
      <c r="R58" s="243"/>
      <c r="S58" s="243"/>
      <c r="T58" s="243"/>
      <c r="U58" s="243"/>
    </row>
    <row r="59" spans="2:21">
      <c r="B59" s="243"/>
      <c r="C59" s="243"/>
      <c r="D59" s="292"/>
      <c r="E59" s="243"/>
      <c r="F59" s="243"/>
      <c r="G59" s="243"/>
      <c r="H59" s="325"/>
      <c r="I59" s="243"/>
      <c r="J59" s="278"/>
      <c r="K59" s="243"/>
      <c r="L59" s="243"/>
      <c r="M59" s="243"/>
      <c r="N59" s="243"/>
      <c r="O59" s="243"/>
      <c r="P59" s="243"/>
      <c r="Q59" s="243"/>
      <c r="R59" s="243"/>
      <c r="S59" s="243"/>
      <c r="T59" s="243"/>
      <c r="U59" s="243"/>
    </row>
    <row r="60" spans="2:21" ht="15.75">
      <c r="B60" s="244"/>
      <c r="C60" s="306" t="str">
        <f>"C.   Determine Gross Margin Tax with hypothetical "&amp;F13&amp;" basis point increase in ROE."</f>
        <v>C.   Determine Gross Margin Tax with hypothetical 0 basis point increase in ROE.</v>
      </c>
      <c r="D60" s="330"/>
      <c r="E60" s="330"/>
      <c r="F60" s="331"/>
      <c r="G60" s="244"/>
      <c r="H60" s="332"/>
      <c r="I60" s="244"/>
      <c r="J60" s="278"/>
      <c r="K60" s="243"/>
      <c r="L60" s="243"/>
      <c r="M60" s="243"/>
      <c r="N60" s="243"/>
      <c r="O60" s="243"/>
      <c r="P60" s="243"/>
      <c r="Q60" s="243"/>
      <c r="R60" s="243"/>
      <c r="S60" s="243"/>
      <c r="T60" s="243"/>
      <c r="U60" s="243"/>
    </row>
    <row r="61" spans="2:21">
      <c r="B61" s="244"/>
      <c r="C61" s="299" t="str">
        <f>"   Net Revenue Requirement before Gross Margin Taxes, with "&amp;F13&amp;" "</f>
        <v xml:space="preserve">   Net Revenue Requirement before Gross Margin Taxes, with 0 </v>
      </c>
      <c r="D61" s="330"/>
      <c r="E61" s="330"/>
      <c r="F61" s="331">
        <f>+F54</f>
        <v>184155821.47548768</v>
      </c>
      <c r="G61" s="244"/>
      <c r="H61" s="332"/>
      <c r="I61" s="244"/>
      <c r="J61" s="278"/>
      <c r="K61" s="243"/>
      <c r="L61" s="243"/>
      <c r="M61" s="243"/>
      <c r="N61" s="243"/>
      <c r="O61" s="243"/>
      <c r="P61" s="243"/>
      <c r="Q61" s="243"/>
      <c r="R61" s="243"/>
      <c r="S61" s="243"/>
      <c r="T61" s="243"/>
      <c r="U61" s="243"/>
    </row>
    <row r="62" spans="2:21">
      <c r="B62" s="244"/>
      <c r="C62" s="299" t="s">
        <v>28</v>
      </c>
      <c r="D62" s="330"/>
      <c r="E62" s="330"/>
      <c r="F62" s="331"/>
      <c r="G62" s="244"/>
      <c r="H62" s="332"/>
      <c r="I62" s="244"/>
      <c r="J62" s="278"/>
      <c r="K62" s="243"/>
      <c r="L62" s="243"/>
      <c r="M62" s="243"/>
      <c r="N62" s="243"/>
      <c r="O62" s="243"/>
      <c r="P62" s="243"/>
      <c r="Q62" s="243"/>
      <c r="R62" s="243"/>
      <c r="S62" s="243"/>
      <c r="T62" s="243"/>
      <c r="U62" s="243"/>
    </row>
    <row r="63" spans="2:21">
      <c r="B63" s="244"/>
      <c r="C63" s="248" t="str">
        <f>+S119</f>
        <v xml:space="preserve">       Apportionment Factor to Texas (Worksheet K, ln 12)</v>
      </c>
      <c r="D63" s="333"/>
      <c r="E63" s="244"/>
      <c r="F63" s="334">
        <f>+R119</f>
        <v>0</v>
      </c>
      <c r="G63" s="244"/>
      <c r="H63" s="332"/>
      <c r="I63" s="244"/>
      <c r="J63" s="278"/>
      <c r="K63" s="243"/>
      <c r="L63" s="243"/>
      <c r="M63" s="243"/>
      <c r="N63" s="243"/>
      <c r="O63" s="243"/>
      <c r="P63" s="243"/>
      <c r="Q63" s="243"/>
      <c r="R63" s="243"/>
      <c r="S63" s="243"/>
      <c r="T63" s="243"/>
      <c r="U63" s="243"/>
    </row>
    <row r="64" spans="2:21">
      <c r="B64" s="244"/>
      <c r="C64" s="248" t="s">
        <v>29</v>
      </c>
      <c r="D64" s="333"/>
      <c r="E64" s="244"/>
      <c r="F64" s="331">
        <f>+F61*F63</f>
        <v>0</v>
      </c>
      <c r="G64" s="244"/>
      <c r="H64" s="332"/>
      <c r="I64" s="244"/>
      <c r="J64" s="278"/>
      <c r="K64" s="243"/>
      <c r="L64" s="243"/>
      <c r="M64" s="243"/>
      <c r="N64" s="243"/>
      <c r="O64" s="243"/>
      <c r="P64" s="243"/>
      <c r="Q64" s="243"/>
      <c r="R64" s="243"/>
      <c r="S64" s="243"/>
      <c r="T64" s="243"/>
      <c r="U64" s="243"/>
    </row>
    <row r="65" spans="2:21">
      <c r="B65" s="244"/>
      <c r="C65" s="248" t="s">
        <v>257</v>
      </c>
      <c r="D65" s="333"/>
      <c r="E65" s="244"/>
      <c r="F65" s="335">
        <v>0.22</v>
      </c>
      <c r="G65" s="244"/>
      <c r="H65" s="332"/>
      <c r="I65" s="244"/>
      <c r="J65" s="278"/>
      <c r="K65" s="243"/>
      <c r="L65" s="243"/>
      <c r="M65" s="243"/>
      <c r="N65" s="243"/>
      <c r="O65" s="243"/>
      <c r="P65" s="243"/>
      <c r="Q65" s="243"/>
      <c r="R65" s="243"/>
      <c r="S65" s="243"/>
      <c r="T65" s="243"/>
      <c r="U65" s="243"/>
    </row>
    <row r="66" spans="2:21">
      <c r="B66" s="244"/>
      <c r="C66" s="248" t="s">
        <v>30</v>
      </c>
      <c r="D66" s="333"/>
      <c r="E66" s="244"/>
      <c r="F66" s="331">
        <f>+F64*F65</f>
        <v>0</v>
      </c>
      <c r="G66" s="244"/>
      <c r="H66" s="332"/>
      <c r="I66" s="244"/>
      <c r="J66" s="278"/>
      <c r="K66" s="243"/>
      <c r="L66" s="243"/>
      <c r="M66" s="243"/>
      <c r="N66" s="243"/>
      <c r="O66" s="243"/>
      <c r="P66" s="243"/>
      <c r="Q66" s="243"/>
      <c r="R66" s="243"/>
      <c r="S66" s="243"/>
      <c r="T66" s="243"/>
      <c r="U66" s="243"/>
    </row>
    <row r="67" spans="2:21">
      <c r="B67" s="244"/>
      <c r="C67" s="248" t="s">
        <v>31</v>
      </c>
      <c r="D67" s="333"/>
      <c r="E67" s="244"/>
      <c r="F67" s="335">
        <v>0.01</v>
      </c>
      <c r="G67" s="244"/>
      <c r="H67" s="332"/>
      <c r="I67" s="244"/>
      <c r="J67" s="278"/>
      <c r="K67" s="243"/>
      <c r="L67" s="243"/>
      <c r="M67" s="243"/>
      <c r="N67" s="243"/>
      <c r="O67" s="243"/>
      <c r="P67" s="243"/>
      <c r="Q67" s="243"/>
      <c r="R67" s="243"/>
      <c r="S67" s="243"/>
      <c r="T67" s="243"/>
      <c r="U67" s="243"/>
    </row>
    <row r="68" spans="2:21">
      <c r="B68" s="244"/>
      <c r="C68" s="248" t="s">
        <v>32</v>
      </c>
      <c r="D68" s="333"/>
      <c r="E68" s="244"/>
      <c r="F68" s="331">
        <f>+F66*F67</f>
        <v>0</v>
      </c>
      <c r="G68" s="244"/>
      <c r="H68" s="332"/>
      <c r="I68" s="244"/>
      <c r="J68" s="278"/>
      <c r="K68" s="243"/>
      <c r="L68" s="243"/>
      <c r="M68" s="243"/>
      <c r="N68" s="243"/>
      <c r="O68" s="243"/>
      <c r="P68" s="243"/>
      <c r="Q68" s="243"/>
      <c r="R68" s="243"/>
      <c r="S68" s="243"/>
      <c r="T68" s="243"/>
      <c r="U68" s="243"/>
    </row>
    <row r="69" spans="2:21">
      <c r="B69" s="244"/>
      <c r="C69" s="248" t="s">
        <v>33</v>
      </c>
      <c r="D69" s="333"/>
      <c r="E69" s="244"/>
      <c r="F69" s="336">
        <f>+ROUND((F68*F65*F63)/(1-F67)*F67,0)</f>
        <v>0</v>
      </c>
      <c r="G69" s="244"/>
      <c r="H69" s="332"/>
      <c r="I69" s="244"/>
      <c r="J69" s="278"/>
      <c r="K69" s="243"/>
      <c r="L69" s="243"/>
      <c r="M69" s="243"/>
      <c r="N69" s="243"/>
      <c r="O69" s="243"/>
      <c r="P69" s="243"/>
      <c r="Q69" s="243"/>
      <c r="R69" s="243"/>
      <c r="S69" s="243"/>
      <c r="T69" s="243"/>
      <c r="U69" s="243"/>
    </row>
    <row r="70" spans="2:21">
      <c r="B70" s="244"/>
      <c r="C70" s="248" t="s">
        <v>34</v>
      </c>
      <c r="D70" s="333"/>
      <c r="E70" s="244"/>
      <c r="F70" s="331">
        <f>+F68+F69</f>
        <v>0</v>
      </c>
      <c r="G70" s="244"/>
      <c r="H70" s="332"/>
      <c r="I70" s="244"/>
      <c r="J70" s="278"/>
      <c r="K70" s="243"/>
      <c r="L70" s="243"/>
      <c r="M70" s="243"/>
      <c r="N70" s="243"/>
      <c r="O70" s="243"/>
      <c r="P70" s="243"/>
      <c r="Q70" s="243"/>
      <c r="R70" s="243"/>
      <c r="S70" s="243"/>
      <c r="T70" s="243"/>
      <c r="U70" s="243"/>
    </row>
    <row r="71" spans="2:21">
      <c r="B71" s="243"/>
      <c r="C71" s="243"/>
      <c r="D71" s="292"/>
      <c r="E71" s="243"/>
      <c r="F71" s="243"/>
      <c r="G71" s="243"/>
      <c r="H71" s="325"/>
      <c r="I71" s="243"/>
      <c r="J71" s="278"/>
      <c r="K71" s="243"/>
      <c r="L71" s="243"/>
      <c r="M71" s="243"/>
      <c r="N71" s="243"/>
      <c r="O71" s="243"/>
      <c r="P71" s="243"/>
      <c r="Q71" s="243"/>
      <c r="R71" s="243"/>
      <c r="S71" s="243"/>
      <c r="T71" s="243"/>
      <c r="U71" s="243"/>
    </row>
    <row r="72" spans="2:21" ht="15.75">
      <c r="B72" s="243"/>
      <c r="C72" s="235" t="str">
        <f>"D.   Determine FCR with hypothetical "&amp;F13&amp;" basis point ROE increase."</f>
        <v>D.   Determine FCR with hypothetical 0 basis point ROE increase.</v>
      </c>
      <c r="D72" s="292"/>
      <c r="E72" s="243"/>
      <c r="F72" s="243"/>
      <c r="G72" s="243"/>
      <c r="H72" s="325"/>
      <c r="I72" s="243"/>
      <c r="J72" s="278"/>
      <c r="K72" s="243"/>
      <c r="L72" s="243"/>
      <c r="M72" s="243"/>
      <c r="N72" s="243"/>
      <c r="O72" s="243"/>
      <c r="P72" s="243"/>
      <c r="Q72" s="243"/>
      <c r="R72" s="243"/>
      <c r="S72" s="243"/>
      <c r="T72" s="243"/>
      <c r="U72" s="243"/>
    </row>
    <row r="73" spans="2:21">
      <c r="B73" s="243"/>
      <c r="C73" s="236" t="str">
        <f>+S120</f>
        <v xml:space="preserve">   Net Transmission Plant  (TCOS, ln 37)</v>
      </c>
      <c r="D73" s="292"/>
      <c r="E73" s="243"/>
      <c r="F73" s="326">
        <f>+R120</f>
        <v>1230516864.8203597</v>
      </c>
      <c r="G73" s="337"/>
      <c r="H73" s="212"/>
      <c r="J73" s="220"/>
      <c r="P73" s="243"/>
      <c r="Q73" s="243"/>
      <c r="R73" s="243"/>
      <c r="S73" s="243"/>
      <c r="T73" s="243"/>
      <c r="U73" s="325"/>
    </row>
    <row r="74" spans="2:21">
      <c r="B74" s="243"/>
      <c r="C74" s="248" t="str">
        <f>"   Net Revenue Requirement, with "&amp;F13&amp;" Basis Point ROE increase"</f>
        <v xml:space="preserve">   Net Revenue Requirement, with 0 Basis Point ROE increase</v>
      </c>
      <c r="D74" s="292"/>
      <c r="E74" s="243"/>
      <c r="F74" s="338">
        <f>F54</f>
        <v>184155821.47548768</v>
      </c>
      <c r="H74" s="212"/>
      <c r="J74" s="220"/>
      <c r="P74" s="243"/>
      <c r="Q74" s="243"/>
      <c r="R74" s="243"/>
      <c r="S74" s="243"/>
      <c r="T74" s="243"/>
      <c r="U74" s="325"/>
    </row>
    <row r="75" spans="2:21">
      <c r="B75" s="243"/>
      <c r="C75" s="248" t="str">
        <f>"   FCR with "&amp;F13&amp;" Basis Point increase in ROE"</f>
        <v xml:space="preserve">   FCR with 0 Basis Point increase in ROE</v>
      </c>
      <c r="D75" s="292"/>
      <c r="E75" s="243"/>
      <c r="F75" s="339">
        <f>IF(F73=0,0,F74/F73)</f>
        <v>0.14965729177744522</v>
      </c>
      <c r="H75" s="212"/>
      <c r="J75" s="220"/>
      <c r="P75" s="243"/>
      <c r="Q75" s="243"/>
      <c r="R75" s="243"/>
      <c r="S75" s="243"/>
      <c r="T75" s="243"/>
      <c r="U75" s="325"/>
    </row>
    <row r="76" spans="2:21">
      <c r="B76" s="243"/>
      <c r="D76" s="292"/>
      <c r="E76" s="243"/>
      <c r="F76" s="244"/>
      <c r="H76" s="212"/>
      <c r="J76" s="220"/>
      <c r="P76" s="243"/>
      <c r="Q76" s="243"/>
      <c r="R76" s="243"/>
      <c r="S76" s="243"/>
      <c r="T76" s="243"/>
      <c r="U76" s="325"/>
    </row>
    <row r="77" spans="2:21">
      <c r="B77" s="243"/>
      <c r="C77" s="248" t="str">
        <f>"   Net Rev. Req, w / "&amp;F13&amp;" Basis Point ROE increase, less Dep."</f>
        <v xml:space="preserve">   Net Rev. Req, w / 0 Basis Point ROE increase, less Dep.</v>
      </c>
      <c r="D77" s="292"/>
      <c r="E77" s="243"/>
      <c r="F77" s="326">
        <f>F58</f>
        <v>141212606.66719157</v>
      </c>
      <c r="G77" s="337"/>
      <c r="H77" s="212"/>
      <c r="J77" s="220"/>
      <c r="P77" s="243"/>
      <c r="Q77" s="243"/>
      <c r="R77" s="243"/>
      <c r="S77" s="243"/>
      <c r="T77" s="243"/>
      <c r="U77" s="325"/>
    </row>
    <row r="78" spans="2:21">
      <c r="B78" s="243"/>
      <c r="C78" s="248" t="str">
        <f>"   FCR with "&amp;F13&amp;" Basis Point ROE increase, less Depreciation"</f>
        <v xml:space="preserve">   FCR with 0 Basis Point ROE increase, less Depreciation</v>
      </c>
      <c r="D78" s="292"/>
      <c r="E78" s="243"/>
      <c r="F78" s="339">
        <f>IF(F73=0,0,F77/F73)</f>
        <v>0.11475877389767174</v>
      </c>
      <c r="G78" s="339"/>
      <c r="H78" s="212"/>
      <c r="J78" s="220"/>
      <c r="P78" s="243"/>
      <c r="Q78" s="243"/>
      <c r="R78" s="243"/>
      <c r="S78" s="243"/>
      <c r="T78" s="243"/>
      <c r="U78" s="325"/>
    </row>
    <row r="79" spans="2:21">
      <c r="B79" s="243"/>
      <c r="C79" s="236" t="str">
        <f>+S121</f>
        <v xml:space="preserve">   FCR less Depreciation  (TCOS, ln 10)</v>
      </c>
      <c r="D79" s="292"/>
      <c r="E79" s="243"/>
      <c r="F79" s="340">
        <f>+R121</f>
        <v>0.11475877389767174</v>
      </c>
      <c r="H79" s="212"/>
      <c r="J79" s="220"/>
      <c r="P79" s="243"/>
      <c r="Q79" s="243"/>
      <c r="R79" s="243"/>
      <c r="S79" s="243"/>
      <c r="T79" s="243"/>
      <c r="U79" s="325"/>
    </row>
    <row r="80" spans="2:21">
      <c r="B80" s="243"/>
      <c r="C80" s="666" t="str">
        <f>"   Incremental FCR with "&amp;F13&amp;" Basis Point ROE increase, less Depreciation"</f>
        <v xml:space="preserve">   Incremental FCR with 0 Basis Point ROE increase, less Depreciation</v>
      </c>
      <c r="D80" s="665"/>
      <c r="E80" s="665"/>
      <c r="F80" s="339">
        <f>F78-F79</f>
        <v>0</v>
      </c>
      <c r="H80" s="212"/>
      <c r="J80" s="220"/>
      <c r="P80" s="243"/>
      <c r="Q80" s="243"/>
      <c r="R80" s="243"/>
      <c r="S80" s="243"/>
      <c r="T80" s="243"/>
      <c r="U80" s="325"/>
    </row>
    <row r="81" spans="2:21">
      <c r="B81" s="243"/>
      <c r="C81" s="665"/>
      <c r="D81" s="665"/>
      <c r="E81" s="665"/>
      <c r="F81" s="339"/>
      <c r="G81" s="243"/>
      <c r="H81" s="325"/>
      <c r="I81" s="243"/>
      <c r="J81" s="278"/>
      <c r="K81" s="243"/>
      <c r="L81" s="243"/>
      <c r="M81" s="243"/>
      <c r="N81" s="243"/>
      <c r="O81" s="243"/>
      <c r="P81" s="243"/>
      <c r="Q81" s="243"/>
      <c r="R81" s="243"/>
      <c r="S81" s="243"/>
      <c r="T81" s="243"/>
      <c r="U81" s="243"/>
    </row>
    <row r="82" spans="2:21" ht="18.75">
      <c r="B82" s="233" t="s">
        <v>35</v>
      </c>
      <c r="C82" s="305" t="s">
        <v>36</v>
      </c>
      <c r="D82" s="292"/>
      <c r="E82" s="243"/>
      <c r="F82" s="339"/>
      <c r="G82" s="243"/>
      <c r="H82" s="325"/>
      <c r="I82" s="243"/>
      <c r="J82" s="278"/>
      <c r="K82" s="243"/>
      <c r="L82" s="243"/>
      <c r="M82" s="243"/>
      <c r="N82" s="243"/>
      <c r="O82" s="243"/>
      <c r="P82" s="243"/>
      <c r="Q82" s="243"/>
      <c r="R82" s="243"/>
      <c r="S82" s="243"/>
      <c r="T82" s="243"/>
      <c r="U82" s="243"/>
    </row>
    <row r="83" spans="2:21" ht="12.75" customHeight="1">
      <c r="B83" s="233"/>
      <c r="C83" s="248" t="s">
        <v>37</v>
      </c>
      <c r="D83" s="292"/>
      <c r="F83" s="332">
        <f>R122</f>
        <v>1347223477.80827</v>
      </c>
      <c r="G83" s="243" t="s">
        <v>241</v>
      </c>
      <c r="H83" s="325"/>
      <c r="I83" s="657" t="s">
        <v>259</v>
      </c>
      <c r="J83" s="657"/>
      <c r="K83" s="657"/>
      <c r="L83" s="657"/>
      <c r="M83" s="657"/>
      <c r="N83" s="657"/>
      <c r="O83" s="243"/>
      <c r="P83" s="243"/>
      <c r="Q83" s="243"/>
      <c r="R83" s="243"/>
      <c r="S83" s="243"/>
      <c r="T83" s="243"/>
      <c r="U83" s="243"/>
    </row>
    <row r="84" spans="2:21" ht="12.75" customHeight="1">
      <c r="B84" s="233"/>
      <c r="C84" s="248" t="s">
        <v>38</v>
      </c>
      <c r="D84" s="292"/>
      <c r="F84" s="341">
        <f>R123</f>
        <v>1498353044.5838799</v>
      </c>
      <c r="G84" s="243" t="s">
        <v>241</v>
      </c>
      <c r="H84" s="325"/>
      <c r="I84" s="657"/>
      <c r="J84" s="657"/>
      <c r="K84" s="657"/>
      <c r="L84" s="657"/>
      <c r="M84" s="657"/>
      <c r="N84" s="657"/>
      <c r="O84" s="243"/>
      <c r="P84" s="243"/>
      <c r="Q84" s="243"/>
      <c r="R84" s="243"/>
      <c r="S84" s="243"/>
      <c r="T84" s="243"/>
      <c r="U84" s="243"/>
    </row>
    <row r="85" spans="2:21">
      <c r="B85" s="243"/>
      <c r="C85" s="248"/>
      <c r="D85" s="292"/>
      <c r="F85" s="325">
        <f>SUM(F83:F84)</f>
        <v>2845576522.3921499</v>
      </c>
      <c r="G85" s="326"/>
      <c r="H85" s="325"/>
      <c r="I85" s="657"/>
      <c r="J85" s="657"/>
      <c r="K85" s="657"/>
      <c r="L85" s="657"/>
      <c r="M85" s="657"/>
      <c r="N85" s="657"/>
      <c r="O85" s="243"/>
      <c r="P85" s="243"/>
      <c r="Q85" s="243"/>
      <c r="R85" s="243"/>
      <c r="S85" s="243"/>
      <c r="T85" s="243"/>
      <c r="U85" s="243"/>
    </row>
    <row r="86" spans="2:21">
      <c r="B86" s="243"/>
      <c r="C86" s="248" t="str">
        <f>S124</f>
        <v>Transmission Plant Average Balance for 2022</v>
      </c>
      <c r="D86" s="333"/>
      <c r="E86" s="152"/>
      <c r="F86" s="342">
        <f>+F85/2</f>
        <v>1422788261.196075</v>
      </c>
      <c r="G86" s="343"/>
      <c r="H86" s="325"/>
      <c r="I86" s="657"/>
      <c r="J86" s="657"/>
      <c r="K86" s="657"/>
      <c r="L86" s="657"/>
      <c r="M86" s="657"/>
      <c r="N86" s="657"/>
      <c r="O86" s="243"/>
      <c r="P86" s="243"/>
      <c r="Q86" s="243"/>
      <c r="R86" s="243"/>
      <c r="S86" s="243"/>
      <c r="T86" s="243"/>
      <c r="U86" s="243"/>
    </row>
    <row r="87" spans="2:21">
      <c r="B87" s="243"/>
      <c r="C87" s="236" t="str">
        <f>S125</f>
        <v>Annual Depreciation Expense  (Historic TCOS, ln 259)</v>
      </c>
      <c r="D87" s="333"/>
      <c r="E87" s="244"/>
      <c r="F87" s="342">
        <f>R125</f>
        <v>42943214.808296099</v>
      </c>
      <c r="G87" s="243"/>
      <c r="H87" s="325"/>
      <c r="I87" s="657"/>
      <c r="J87" s="657"/>
      <c r="K87" s="657"/>
      <c r="L87" s="657"/>
      <c r="M87" s="657"/>
      <c r="N87" s="657"/>
      <c r="O87" s="243"/>
      <c r="P87" s="243"/>
      <c r="Q87" s="243"/>
      <c r="R87" s="243"/>
      <c r="S87" s="243"/>
      <c r="T87" s="243"/>
      <c r="U87" s="243"/>
    </row>
    <row r="88" spans="2:21">
      <c r="B88" s="243"/>
      <c r="C88" s="248" t="s">
        <v>39</v>
      </c>
      <c r="D88" s="292"/>
      <c r="E88" s="243"/>
      <c r="F88" s="344">
        <f>F87/F86</f>
        <v>3.0182435418883512E-2</v>
      </c>
      <c r="G88" s="243"/>
      <c r="H88" s="345"/>
      <c r="I88" s="657"/>
      <c r="J88" s="657"/>
      <c r="K88" s="657"/>
      <c r="L88" s="657"/>
      <c r="M88" s="657"/>
      <c r="N88" s="657"/>
      <c r="O88" s="243"/>
      <c r="P88" s="243"/>
      <c r="Q88" s="243"/>
      <c r="R88" s="243"/>
      <c r="S88" s="243"/>
      <c r="T88" s="243"/>
      <c r="U88" s="243"/>
    </row>
    <row r="89" spans="2:21">
      <c r="B89" s="243"/>
      <c r="C89" s="248" t="s">
        <v>40</v>
      </c>
      <c r="D89" s="292"/>
      <c r="E89" s="243"/>
      <c r="F89" s="346">
        <f>IF(F88=0,0,1/F88)</f>
        <v>33.131852553367985</v>
      </c>
      <c r="H89" s="325"/>
      <c r="I89" s="243"/>
      <c r="J89" s="278"/>
      <c r="K89" s="243"/>
      <c r="L89" s="243"/>
      <c r="M89" s="243"/>
      <c r="N89" s="243"/>
      <c r="O89" s="243"/>
      <c r="P89" s="243"/>
      <c r="Q89" s="243"/>
      <c r="R89" s="243"/>
      <c r="S89" s="243"/>
      <c r="T89" s="243"/>
      <c r="U89" s="243"/>
    </row>
    <row r="90" spans="2:21">
      <c r="B90" s="243"/>
      <c r="C90" s="248" t="s">
        <v>41</v>
      </c>
      <c r="D90" s="292"/>
      <c r="E90" s="243"/>
      <c r="F90" s="347">
        <f>ROUND(F89,0)</f>
        <v>33</v>
      </c>
      <c r="G90" s="243"/>
      <c r="H90" s="325"/>
      <c r="I90" s="243"/>
      <c r="J90" s="278"/>
      <c r="K90" s="243"/>
      <c r="L90" s="243"/>
      <c r="M90" s="243"/>
      <c r="N90" s="243"/>
      <c r="O90" s="243"/>
      <c r="P90" s="243"/>
      <c r="Q90" s="243"/>
      <c r="R90" s="243"/>
      <c r="S90" s="243"/>
      <c r="T90" s="243"/>
      <c r="U90" s="243"/>
    </row>
    <row r="91" spans="2:21">
      <c r="C91" s="348"/>
      <c r="D91" s="349"/>
      <c r="E91" s="349"/>
      <c r="F91" s="349"/>
      <c r="G91" s="294"/>
      <c r="H91" s="294"/>
      <c r="I91" s="350"/>
      <c r="J91" s="350"/>
      <c r="K91" s="350"/>
      <c r="L91" s="350"/>
      <c r="M91" s="350"/>
      <c r="N91" s="350"/>
      <c r="O91" s="278"/>
      <c r="P91" s="278"/>
      <c r="Q91" s="243"/>
      <c r="R91" s="243"/>
      <c r="S91" s="243"/>
      <c r="T91" s="243"/>
      <c r="U91" s="243"/>
    </row>
    <row r="92" spans="2:21">
      <c r="C92" s="348"/>
      <c r="D92" s="349"/>
      <c r="E92" s="349"/>
      <c r="F92" s="349"/>
      <c r="G92" s="294"/>
      <c r="H92" s="294"/>
      <c r="I92" s="350"/>
      <c r="J92" s="350"/>
      <c r="K92" s="350"/>
      <c r="L92" s="350"/>
      <c r="M92" s="350"/>
      <c r="N92" s="350"/>
      <c r="O92" s="278"/>
      <c r="P92" s="278"/>
      <c r="Q92" s="243"/>
      <c r="R92" s="243"/>
      <c r="S92" s="243"/>
      <c r="T92" s="243"/>
      <c r="U92" s="243"/>
    </row>
    <row r="93" spans="2:21">
      <c r="J93" s="220"/>
      <c r="P93" s="243"/>
      <c r="Q93" s="243"/>
      <c r="R93" s="243"/>
      <c r="S93" s="243"/>
      <c r="T93" s="243"/>
      <c r="U93" s="243"/>
    </row>
    <row r="94" spans="2:21">
      <c r="J94" s="220"/>
      <c r="P94" s="243"/>
      <c r="Q94" s="243"/>
      <c r="R94" s="351" t="s">
        <v>111</v>
      </c>
      <c r="S94" s="145" t="s">
        <v>112</v>
      </c>
      <c r="U94" s="243"/>
    </row>
    <row r="95" spans="2:21">
      <c r="J95" s="220"/>
      <c r="P95" s="243"/>
      <c r="Q95" s="243"/>
      <c r="U95" s="243"/>
    </row>
    <row r="96" spans="2:21">
      <c r="C96" s="232" t="s">
        <v>108</v>
      </c>
      <c r="J96" s="220"/>
      <c r="L96" s="232" t="s">
        <v>107</v>
      </c>
      <c r="P96" s="243"/>
      <c r="Q96" s="243"/>
      <c r="U96" s="243"/>
    </row>
    <row r="97" spans="10:21">
      <c r="J97" s="220"/>
      <c r="P97" s="243"/>
      <c r="Q97" s="243"/>
      <c r="R97" s="351" t="s">
        <v>102</v>
      </c>
      <c r="S97" s="352" t="s">
        <v>250</v>
      </c>
      <c r="U97" s="243"/>
    </row>
    <row r="98" spans="10:21">
      <c r="J98" s="220"/>
      <c r="P98" s="243"/>
      <c r="Q98" s="243"/>
      <c r="R98" s="351"/>
      <c r="S98" s="200" t="s">
        <v>106</v>
      </c>
      <c r="U98" s="243"/>
    </row>
    <row r="99" spans="10:21" ht="13.5" thickBot="1">
      <c r="J99" s="220"/>
      <c r="P99" s="243"/>
      <c r="Q99" s="243"/>
      <c r="R99" s="353" t="s">
        <v>184</v>
      </c>
      <c r="U99" s="243"/>
    </row>
    <row r="100" spans="10:21">
      <c r="J100" s="220"/>
      <c r="P100" s="243"/>
      <c r="Q100" s="243"/>
      <c r="R100" s="354" t="s">
        <v>126</v>
      </c>
      <c r="S100" s="355" t="s">
        <v>127</v>
      </c>
      <c r="U100" s="243"/>
    </row>
    <row r="101" spans="10:21">
      <c r="J101" s="220"/>
      <c r="P101" s="243"/>
      <c r="Q101" s="243"/>
      <c r="R101" s="356">
        <v>2022</v>
      </c>
      <c r="S101" s="357" t="s">
        <v>285</v>
      </c>
      <c r="T101" s="243"/>
      <c r="U101" s="243"/>
    </row>
    <row r="102" spans="10:21">
      <c r="J102" s="220"/>
      <c r="P102" s="243"/>
      <c r="Q102" s="243"/>
      <c r="R102" s="358">
        <v>0.105</v>
      </c>
      <c r="S102" s="357" t="s">
        <v>270</v>
      </c>
      <c r="T102" s="243"/>
      <c r="U102" s="243"/>
    </row>
    <row r="103" spans="10:21">
      <c r="J103" s="220"/>
      <c r="P103" s="243"/>
      <c r="Q103" s="243"/>
      <c r="R103" s="359">
        <v>0</v>
      </c>
      <c r="S103" s="357" t="s">
        <v>1</v>
      </c>
      <c r="T103" s="243"/>
      <c r="U103" s="243"/>
    </row>
    <row r="104" spans="10:21">
      <c r="J104" s="220"/>
      <c r="P104" s="243"/>
      <c r="Q104" s="243"/>
      <c r="R104" s="360">
        <v>0.4524690885557221</v>
      </c>
      <c r="S104" s="361" t="s">
        <v>97</v>
      </c>
      <c r="T104" s="243"/>
      <c r="U104" s="243"/>
    </row>
    <row r="105" spans="10:21">
      <c r="J105" s="220"/>
      <c r="P105" s="243"/>
      <c r="Q105" s="243"/>
      <c r="R105" s="360">
        <v>4.0682834836160274E-2</v>
      </c>
      <c r="S105" s="361" t="s">
        <v>98</v>
      </c>
      <c r="T105" s="243"/>
      <c r="U105" s="243"/>
    </row>
    <row r="106" spans="10:21">
      <c r="J106" s="220"/>
      <c r="P106" s="243"/>
      <c r="Q106" s="243"/>
      <c r="R106" s="360">
        <v>0</v>
      </c>
      <c r="S106" s="361" t="s">
        <v>99</v>
      </c>
      <c r="T106" s="243"/>
      <c r="U106" s="243"/>
    </row>
    <row r="107" spans="10:21">
      <c r="J107" s="220"/>
      <c r="P107" s="243"/>
      <c r="Q107" s="243"/>
      <c r="R107" s="360">
        <v>0</v>
      </c>
      <c r="S107" s="361" t="s">
        <v>100</v>
      </c>
      <c r="T107" s="243"/>
      <c r="U107" s="243"/>
    </row>
    <row r="108" spans="10:21">
      <c r="J108" s="220"/>
      <c r="P108" s="243"/>
      <c r="Q108" s="243"/>
      <c r="R108" s="360">
        <v>0.5475309114442779</v>
      </c>
      <c r="S108" s="362" t="s">
        <v>101</v>
      </c>
      <c r="T108" s="243"/>
      <c r="U108" s="243"/>
    </row>
    <row r="109" spans="10:21">
      <c r="J109" s="220"/>
      <c r="P109" s="243"/>
      <c r="Q109" s="243"/>
      <c r="R109" s="363">
        <v>1097562635.6731257</v>
      </c>
      <c r="S109" s="364" t="s">
        <v>271</v>
      </c>
      <c r="T109" s="243"/>
      <c r="U109" s="243"/>
    </row>
    <row r="110" spans="10:21">
      <c r="J110" s="220"/>
      <c r="P110" s="243"/>
      <c r="Q110" s="243"/>
      <c r="R110" s="365">
        <v>0.24160000000000004</v>
      </c>
      <c r="S110" s="366" t="s">
        <v>272</v>
      </c>
      <c r="T110" s="243"/>
      <c r="U110" s="243"/>
    </row>
    <row r="111" spans="10:21">
      <c r="J111" s="220"/>
      <c r="P111" s="243"/>
      <c r="Q111" s="243"/>
      <c r="R111" s="367">
        <v>0</v>
      </c>
      <c r="S111" s="366" t="s">
        <v>273</v>
      </c>
      <c r="T111" s="243"/>
      <c r="U111" s="243"/>
    </row>
    <row r="112" spans="10:21">
      <c r="J112" s="220"/>
      <c r="P112" s="243"/>
      <c r="Q112" s="243"/>
      <c r="R112" s="367">
        <v>1311651.7140740554</v>
      </c>
      <c r="S112" s="366" t="s">
        <v>274</v>
      </c>
      <c r="T112" s="243"/>
      <c r="U112" s="243"/>
    </row>
    <row r="113" spans="3:21">
      <c r="J113" s="220"/>
      <c r="P113" s="243"/>
      <c r="Q113" s="243"/>
      <c r="R113" s="367">
        <v>249555.68473101265</v>
      </c>
      <c r="S113" s="366" t="s">
        <v>286</v>
      </c>
      <c r="T113" s="243"/>
      <c r="U113" s="243"/>
    </row>
    <row r="114" spans="3:21">
      <c r="C114" s="243"/>
      <c r="D114" s="292"/>
      <c r="E114" s="243"/>
      <c r="F114" s="243"/>
      <c r="G114" s="243"/>
      <c r="H114" s="325"/>
      <c r="I114" s="243"/>
      <c r="J114" s="278"/>
      <c r="K114" s="243"/>
      <c r="L114" s="243"/>
      <c r="M114" s="243"/>
      <c r="P114" s="243"/>
      <c r="Q114" s="243"/>
      <c r="R114" s="367">
        <v>184155821.47548768</v>
      </c>
      <c r="S114" s="366" t="s">
        <v>276</v>
      </c>
      <c r="T114" s="243"/>
      <c r="U114" s="243"/>
    </row>
    <row r="115" spans="3:21">
      <c r="C115" s="243"/>
      <c r="D115" s="292"/>
      <c r="E115" s="243"/>
      <c r="F115" s="243"/>
      <c r="G115" s="243"/>
      <c r="H115" s="325"/>
      <c r="I115" s="243"/>
      <c r="J115" s="278"/>
      <c r="K115" s="243"/>
      <c r="L115" s="243"/>
      <c r="M115" s="243"/>
      <c r="P115" s="243"/>
      <c r="Q115" s="243"/>
      <c r="R115" s="367">
        <v>83303325.764377013</v>
      </c>
      <c r="S115" s="366" t="s">
        <v>277</v>
      </c>
      <c r="T115" s="243"/>
      <c r="U115" s="243"/>
    </row>
    <row r="116" spans="3:21">
      <c r="C116" s="243"/>
      <c r="D116" s="292"/>
      <c r="E116" s="243"/>
      <c r="F116" s="243"/>
      <c r="G116" s="243"/>
      <c r="H116" s="325"/>
      <c r="I116" s="243"/>
      <c r="J116" s="278"/>
      <c r="K116" s="243"/>
      <c r="L116" s="243"/>
      <c r="M116" s="243"/>
      <c r="P116" s="243"/>
      <c r="Q116" s="243"/>
      <c r="R116" s="367">
        <v>21662586.831814442</v>
      </c>
      <c r="S116" s="366" t="s">
        <v>278</v>
      </c>
      <c r="T116" s="243"/>
      <c r="U116" s="243"/>
    </row>
    <row r="117" spans="3:21">
      <c r="C117" s="243"/>
      <c r="D117" s="292"/>
      <c r="E117" s="243"/>
      <c r="F117" s="243"/>
      <c r="G117" s="243"/>
      <c r="H117" s="325"/>
      <c r="I117" s="243"/>
      <c r="J117" s="278"/>
      <c r="K117" s="243"/>
      <c r="L117" s="243"/>
      <c r="M117" s="243"/>
      <c r="P117" s="243"/>
      <c r="Q117" s="243"/>
      <c r="R117" s="367">
        <v>0</v>
      </c>
      <c r="S117" s="366" t="s">
        <v>279</v>
      </c>
      <c r="T117" s="243"/>
      <c r="U117" s="243"/>
    </row>
    <row r="118" spans="3:21">
      <c r="C118" s="243"/>
      <c r="D118" s="292"/>
      <c r="E118" s="243"/>
      <c r="F118" s="243"/>
      <c r="G118" s="243"/>
      <c r="H118" s="325"/>
      <c r="I118" s="243"/>
      <c r="J118" s="278"/>
      <c r="K118" s="243"/>
      <c r="L118" s="243"/>
      <c r="M118" s="243"/>
      <c r="P118" s="243"/>
      <c r="Q118" s="243"/>
      <c r="R118" s="367">
        <v>42943214.808296099</v>
      </c>
      <c r="S118" s="366" t="s">
        <v>280</v>
      </c>
      <c r="T118" s="243"/>
      <c r="U118" s="243"/>
    </row>
    <row r="119" spans="3:21">
      <c r="C119" s="243"/>
      <c r="D119" s="292"/>
      <c r="E119" s="243"/>
      <c r="F119" s="243"/>
      <c r="G119" s="243"/>
      <c r="H119" s="325"/>
      <c r="I119" s="243"/>
      <c r="J119" s="278"/>
      <c r="K119" s="243"/>
      <c r="L119" s="243"/>
      <c r="M119" s="243"/>
      <c r="P119" s="243"/>
      <c r="Q119" s="243"/>
      <c r="R119" s="368">
        <v>0</v>
      </c>
      <c r="S119" s="366" t="s">
        <v>104</v>
      </c>
      <c r="T119" s="243"/>
      <c r="U119" s="243"/>
    </row>
    <row r="120" spans="3:21">
      <c r="C120" s="243"/>
      <c r="D120" s="292"/>
      <c r="E120" s="243"/>
      <c r="F120" s="243"/>
      <c r="G120" s="243"/>
      <c r="H120" s="325"/>
      <c r="I120" s="243"/>
      <c r="J120" s="278"/>
      <c r="K120" s="243"/>
      <c r="L120" s="243"/>
      <c r="M120" s="243"/>
      <c r="P120" s="243"/>
      <c r="Q120" s="243"/>
      <c r="R120" s="367">
        <v>1230516864.8203597</v>
      </c>
      <c r="S120" s="366" t="s">
        <v>281</v>
      </c>
      <c r="T120" s="243"/>
      <c r="U120" s="243"/>
    </row>
    <row r="121" spans="3:21">
      <c r="C121" s="243"/>
      <c r="D121" s="292"/>
      <c r="E121" s="243"/>
      <c r="F121" s="243"/>
      <c r="G121" s="243"/>
      <c r="H121" s="325"/>
      <c r="I121" s="243"/>
      <c r="J121" s="278"/>
      <c r="K121" s="243"/>
      <c r="L121" s="243"/>
      <c r="M121" s="243"/>
      <c r="P121" s="243"/>
      <c r="Q121" s="243"/>
      <c r="R121" s="368">
        <v>0.11475877389767174</v>
      </c>
      <c r="S121" s="369" t="s">
        <v>282</v>
      </c>
      <c r="T121" s="243"/>
      <c r="U121" s="243"/>
    </row>
    <row r="122" spans="3:21">
      <c r="C122" s="243"/>
      <c r="D122" s="292"/>
      <c r="E122" s="243"/>
      <c r="F122" s="243"/>
      <c r="G122" s="243"/>
      <c r="H122" s="325"/>
      <c r="I122" s="243"/>
      <c r="J122" s="278"/>
      <c r="K122" s="243"/>
      <c r="L122" s="243"/>
      <c r="M122" s="243"/>
      <c r="P122" s="243"/>
      <c r="Q122" s="243"/>
      <c r="R122" s="370">
        <v>1347223477.80827</v>
      </c>
      <c r="S122" s="361" t="s">
        <v>37</v>
      </c>
      <c r="T122" s="243"/>
      <c r="U122" s="243"/>
    </row>
    <row r="123" spans="3:21">
      <c r="C123" s="243"/>
      <c r="D123" s="292"/>
      <c r="E123" s="243"/>
      <c r="F123" s="243"/>
      <c r="G123" s="243"/>
      <c r="H123" s="325"/>
      <c r="I123" s="243"/>
      <c r="J123" s="278"/>
      <c r="K123" s="243"/>
      <c r="L123" s="243"/>
      <c r="M123" s="243"/>
      <c r="P123" s="243"/>
      <c r="Q123" s="243"/>
      <c r="R123" s="371">
        <v>1498353044.5838799</v>
      </c>
      <c r="S123" s="362" t="s">
        <v>38</v>
      </c>
      <c r="T123" s="243"/>
      <c r="U123" s="243"/>
    </row>
    <row r="124" spans="3:21">
      <c r="C124" s="243"/>
      <c r="D124" s="292"/>
      <c r="E124" s="243"/>
      <c r="F124" s="243"/>
      <c r="G124" s="243"/>
      <c r="H124" s="325"/>
      <c r="I124" s="243"/>
      <c r="J124" s="278"/>
      <c r="K124" s="243"/>
      <c r="L124" s="243"/>
      <c r="M124" s="243"/>
      <c r="N124" s="243"/>
      <c r="P124" s="243"/>
      <c r="Q124" s="243"/>
      <c r="R124" s="371">
        <v>1411267311.8767002</v>
      </c>
      <c r="S124" s="372" t="s">
        <v>322</v>
      </c>
      <c r="T124" s="373"/>
      <c r="U124" s="243"/>
    </row>
    <row r="125" spans="3:21" ht="13.5" thickBot="1">
      <c r="C125" s="243"/>
      <c r="D125" s="292"/>
      <c r="E125" s="243"/>
      <c r="F125" s="243"/>
      <c r="G125" s="243"/>
      <c r="H125" s="325"/>
      <c r="I125" s="243"/>
      <c r="J125" s="278"/>
      <c r="K125" s="243"/>
      <c r="L125" s="243"/>
      <c r="M125" s="243"/>
      <c r="N125" s="243"/>
      <c r="P125" s="243"/>
      <c r="Q125" s="243"/>
      <c r="R125" s="374">
        <v>42943214.808296099</v>
      </c>
      <c r="S125" s="375" t="s">
        <v>258</v>
      </c>
      <c r="T125" s="243"/>
      <c r="U125" s="243"/>
    </row>
    <row r="126" spans="3:21">
      <c r="C126" s="243"/>
      <c r="D126" s="292"/>
      <c r="E126" s="243"/>
      <c r="F126" s="243"/>
      <c r="G126" s="243"/>
      <c r="H126" s="325"/>
      <c r="I126" s="243"/>
      <c r="J126" s="278"/>
      <c r="K126" s="243"/>
      <c r="L126" s="243"/>
      <c r="M126" s="243"/>
      <c r="N126" s="243"/>
      <c r="P126" s="243"/>
      <c r="Q126" s="243"/>
      <c r="R126" s="243"/>
      <c r="S126" s="243"/>
      <c r="T126" s="243"/>
      <c r="U126" s="243"/>
    </row>
    <row r="127" spans="3:21">
      <c r="C127" s="243"/>
      <c r="D127" s="292"/>
      <c r="E127" s="243"/>
      <c r="F127" s="243"/>
      <c r="G127" s="243"/>
      <c r="H127" s="325"/>
      <c r="I127" s="243"/>
      <c r="J127" s="278"/>
      <c r="K127" s="243"/>
      <c r="L127" s="243"/>
      <c r="M127" s="243"/>
      <c r="N127" s="243"/>
      <c r="P127" s="243"/>
      <c r="Q127" s="243"/>
      <c r="R127" s="351" t="s">
        <v>103</v>
      </c>
      <c r="S127" s="243" t="s">
        <v>115</v>
      </c>
      <c r="T127" s="376"/>
      <c r="U127" s="343"/>
    </row>
    <row r="128" spans="3:21" ht="13.5" thickBot="1">
      <c r="C128" s="248"/>
      <c r="D128" s="321"/>
      <c r="E128" s="248"/>
      <c r="F128" s="248"/>
      <c r="G128" s="248"/>
      <c r="H128" s="323"/>
      <c r="I128" s="243"/>
      <c r="J128" s="278"/>
      <c r="K128" s="243"/>
      <c r="L128" s="243"/>
      <c r="M128" s="243"/>
      <c r="N128" s="243"/>
      <c r="P128" s="243"/>
      <c r="Q128" s="243"/>
      <c r="R128" s="353" t="s">
        <v>185</v>
      </c>
      <c r="S128" s="243"/>
      <c r="T128" s="376"/>
      <c r="U128" s="343"/>
    </row>
    <row r="129" spans="3:21">
      <c r="C129" s="248"/>
      <c r="D129" s="321"/>
      <c r="E129" s="248"/>
      <c r="F129" s="248"/>
      <c r="G129" s="248"/>
      <c r="H129" s="323"/>
      <c r="I129" s="243"/>
      <c r="J129" s="278"/>
      <c r="K129" s="243"/>
      <c r="L129" s="243"/>
      <c r="M129" s="243"/>
      <c r="N129" s="243"/>
      <c r="P129" s="243"/>
      <c r="Q129" s="243"/>
      <c r="R129" s="377">
        <f>+M19</f>
        <v>39969241.151666239</v>
      </c>
      <c r="S129" s="243" t="str">
        <f>+K19&amp;" "&amp;M17</f>
        <v>PROJECTED YEAR Rev Require</v>
      </c>
      <c r="T129" s="376"/>
      <c r="U129" s="343"/>
    </row>
    <row r="130" spans="3:21">
      <c r="C130" s="248"/>
      <c r="D130" s="321"/>
      <c r="E130" s="248"/>
      <c r="F130" s="248"/>
      <c r="G130" s="248"/>
      <c r="H130" s="323"/>
      <c r="I130" s="243"/>
      <c r="J130" s="278"/>
      <c r="K130" s="243"/>
      <c r="L130" s="243"/>
      <c r="M130" s="243"/>
      <c r="N130" s="243"/>
      <c r="O130" s="243"/>
      <c r="P130" s="243"/>
      <c r="Q130" s="243"/>
      <c r="R130" s="378">
        <f>+N19</f>
        <v>39969241.151666239</v>
      </c>
      <c r="S130" s="243" t="str">
        <f>K19&amp;" "&amp;N17</f>
        <v>PROJECTED YEAR  W Incentives</v>
      </c>
      <c r="T130" s="243"/>
      <c r="U130" s="243"/>
    </row>
    <row r="131" spans="3:21" ht="13.5" thickBot="1">
      <c r="C131" s="248"/>
      <c r="D131" s="321"/>
      <c r="E131" s="248"/>
      <c r="F131" s="248"/>
      <c r="G131" s="248"/>
      <c r="H131" s="323"/>
      <c r="I131" s="243"/>
      <c r="J131" s="278"/>
      <c r="K131" s="243"/>
      <c r="L131" s="243"/>
      <c r="M131" s="243"/>
      <c r="N131" s="243"/>
      <c r="O131" s="243"/>
      <c r="P131" s="243"/>
      <c r="Q131" s="243"/>
      <c r="R131" s="379">
        <f>+O19</f>
        <v>0</v>
      </c>
      <c r="S131" s="243" t="str">
        <f>K19&amp;" "&amp;O17</f>
        <v>PROJECTED YEAR Incentive Amounts</v>
      </c>
      <c r="T131" s="243"/>
      <c r="U131" s="243"/>
    </row>
    <row r="132" spans="3:21">
      <c r="C132" s="248"/>
      <c r="D132" s="321"/>
      <c r="E132" s="248"/>
      <c r="F132" s="248"/>
      <c r="G132" s="248"/>
      <c r="H132" s="323"/>
      <c r="I132" s="243"/>
      <c r="J132" s="278"/>
      <c r="K132" s="243"/>
      <c r="L132" s="243"/>
      <c r="M132" s="243"/>
      <c r="N132" s="243"/>
      <c r="O132" s="243"/>
      <c r="P132" s="243"/>
      <c r="Q132" s="243"/>
      <c r="R132" s="243"/>
      <c r="S132" s="243"/>
      <c r="T132" s="243"/>
      <c r="U132" s="243"/>
    </row>
    <row r="133" spans="3:21" ht="12.75" customHeight="1">
      <c r="R133" s="243"/>
      <c r="S133" s="243"/>
    </row>
    <row r="134" spans="3:21" ht="12.75" customHeight="1">
      <c r="R134" s="351" t="s">
        <v>113</v>
      </c>
      <c r="S134" s="352" t="s">
        <v>114</v>
      </c>
    </row>
  </sheetData>
  <mergeCells count="9">
    <mergeCell ref="I83:N88"/>
    <mergeCell ref="K15:O16"/>
    <mergeCell ref="C8:H8"/>
    <mergeCell ref="C80:E81"/>
    <mergeCell ref="A1:J1"/>
    <mergeCell ref="A3:J3"/>
    <mergeCell ref="A5:J5"/>
    <mergeCell ref="A4:K4"/>
    <mergeCell ref="A2:J2"/>
  </mergeCells>
  <phoneticPr fontId="0" type="noConversion"/>
  <printOptions horizontalCentered="1"/>
  <pageMargins left="0.25" right="0.25" top="0.75" bottom="0.25" header="0.25" footer="0.5"/>
  <pageSetup scale="41" fitToHeight="2" orientation="landscape" horizontalDpi="1200" verticalDpi="1200" r:id="rId1"/>
  <headerFooter alignWithMargins="0">
    <oddHeader xml:space="preserve">&amp;R&amp;16AEPTCo - SPP Formula Rate
&amp;A TCOS - WS F
Page: &amp;P of &amp;N
</oddHeader>
    <oddFooter xml:space="preserve">&amp;C &amp;R </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P163"/>
  <sheetViews>
    <sheetView zoomScale="85" zoomScaleNormal="85"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17 of 23</v>
      </c>
    </row>
    <row r="2" spans="1:16" ht="18">
      <c r="B2" s="243"/>
      <c r="C2" s="243"/>
      <c r="D2" s="292"/>
      <c r="E2" s="243"/>
      <c r="F2" s="243"/>
      <c r="G2" s="243"/>
      <c r="H2" s="325"/>
      <c r="I2" s="243"/>
      <c r="J2" s="278"/>
      <c r="K2" s="243"/>
      <c r="L2" s="243"/>
      <c r="M2" s="243"/>
      <c r="N2" s="243"/>
      <c r="P2" s="441" t="s">
        <v>131</v>
      </c>
    </row>
    <row r="3" spans="1:16" ht="18.75">
      <c r="B3" s="233" t="s">
        <v>42</v>
      </c>
      <c r="C3" s="305" t="s">
        <v>43</v>
      </c>
      <c r="D3" s="292"/>
      <c r="E3" s="243"/>
      <c r="F3" s="243"/>
      <c r="G3" s="243"/>
      <c r="H3" s="325"/>
      <c r="I3" s="325"/>
      <c r="J3" s="294"/>
      <c r="K3" s="325"/>
      <c r="L3" s="325"/>
      <c r="M3" s="325"/>
      <c r="N3" s="325"/>
      <c r="O3" s="243"/>
      <c r="P3" s="577">
        <v>1</v>
      </c>
    </row>
    <row r="4" spans="1:16" ht="15.75" thickBot="1">
      <c r="C4" s="304"/>
      <c r="D4" s="292"/>
      <c r="E4" s="243"/>
      <c r="F4" s="243"/>
      <c r="G4" s="243"/>
      <c r="H4" s="325"/>
      <c r="I4" s="325"/>
      <c r="J4" s="294"/>
      <c r="K4" s="325"/>
      <c r="L4" s="325"/>
      <c r="M4" s="325"/>
      <c r="N4" s="325"/>
      <c r="O4" s="243"/>
      <c r="P4" s="243"/>
    </row>
    <row r="5" spans="1:16" ht="15">
      <c r="C5" s="443" t="s">
        <v>44</v>
      </c>
      <c r="D5" s="292"/>
      <c r="E5" s="243"/>
      <c r="F5" s="243"/>
      <c r="G5" s="444"/>
      <c r="H5" s="243" t="s">
        <v>45</v>
      </c>
      <c r="I5" s="243"/>
      <c r="J5" s="278"/>
      <c r="K5" s="445" t="s">
        <v>242</v>
      </c>
      <c r="L5" s="446"/>
      <c r="M5" s="447"/>
      <c r="N5" s="448">
        <f>VLOOKUP(I10,C17:I73,5)</f>
        <v>11430746.557201277</v>
      </c>
      <c r="P5" s="243"/>
    </row>
    <row r="6" spans="1:16" ht="15.75">
      <c r="C6" s="235"/>
      <c r="D6" s="292"/>
      <c r="E6" s="243"/>
      <c r="F6" s="243"/>
      <c r="G6" s="243"/>
      <c r="H6" s="449"/>
      <c r="I6" s="449"/>
      <c r="J6" s="450"/>
      <c r="K6" s="451" t="s">
        <v>243</v>
      </c>
      <c r="L6" s="452"/>
      <c r="M6" s="278"/>
      <c r="N6" s="453">
        <f>VLOOKUP(I10,C17:I73,6)</f>
        <v>11430746.557201277</v>
      </c>
      <c r="O6" s="243"/>
      <c r="P6" s="243"/>
    </row>
    <row r="7" spans="1:16" ht="13.5" thickBot="1">
      <c r="C7" s="454" t="s">
        <v>46</v>
      </c>
      <c r="D7" s="637" t="s">
        <v>247</v>
      </c>
      <c r="E7" s="243"/>
      <c r="F7" s="243"/>
      <c r="G7" s="243"/>
      <c r="H7" s="325"/>
      <c r="I7" s="325"/>
      <c r="J7" s="294"/>
      <c r="K7" s="456" t="s">
        <v>47</v>
      </c>
      <c r="L7" s="457"/>
      <c r="M7" s="457"/>
      <c r="N7" s="458">
        <f>+N6-N5</f>
        <v>0</v>
      </c>
      <c r="O7" s="243"/>
      <c r="P7" s="243"/>
    </row>
    <row r="8" spans="1:16" ht="13.5" thickBot="1">
      <c r="C8" s="459"/>
      <c r="D8" s="460" t="str">
        <f>IF(D10&lt;100000,"DOES NOT MEET SPP $100,000 MINIMUM INVESTMENT FOR REGIONAL BPU SHARING.","")</f>
        <v/>
      </c>
      <c r="E8" s="461"/>
      <c r="F8" s="461"/>
      <c r="G8" s="461"/>
      <c r="H8" s="461"/>
      <c r="I8" s="461"/>
      <c r="J8" s="462"/>
      <c r="K8" s="461"/>
      <c r="L8" s="461"/>
      <c r="M8" s="461"/>
      <c r="N8" s="461"/>
      <c r="O8" s="462"/>
      <c r="P8" s="248"/>
    </row>
    <row r="9" spans="1:16" ht="13.5" thickBot="1">
      <c r="C9" s="463" t="s">
        <v>48</v>
      </c>
      <c r="D9" s="464" t="s">
        <v>262</v>
      </c>
      <c r="E9" s="647" t="s">
        <v>296</v>
      </c>
      <c r="F9" s="465"/>
      <c r="G9" s="465"/>
      <c r="H9" s="465"/>
      <c r="I9" s="466"/>
      <c r="J9" s="467"/>
      <c r="O9" s="468"/>
      <c r="P9" s="278"/>
    </row>
    <row r="10" spans="1:16">
      <c r="C10" s="469" t="s">
        <v>49</v>
      </c>
      <c r="D10" s="470">
        <v>87679479</v>
      </c>
      <c r="E10" s="299" t="s">
        <v>50</v>
      </c>
      <c r="F10" s="468"/>
      <c r="G10" s="408"/>
      <c r="H10" s="408"/>
      <c r="I10" s="471">
        <f>+OKT.WS.F.BPU.ATRR.Projected!R101</f>
        <v>2022</v>
      </c>
      <c r="J10" s="467"/>
      <c r="K10" s="294" t="s">
        <v>51</v>
      </c>
      <c r="O10" s="278"/>
      <c r="P10" s="278"/>
    </row>
    <row r="11" spans="1:16">
      <c r="C11" s="472" t="s">
        <v>52</v>
      </c>
      <c r="D11" s="473">
        <v>2017</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row>
    <row r="12" spans="1:16">
      <c r="C12" s="472" t="s">
        <v>54</v>
      </c>
      <c r="D12" s="470">
        <v>12</v>
      </c>
      <c r="E12" s="472" t="s">
        <v>55</v>
      </c>
      <c r="F12" s="408"/>
      <c r="G12" s="220"/>
      <c r="H12" s="220"/>
      <c r="I12" s="476">
        <f>OKT.WS.F.BPU.ATRR.Projected!$F$79</f>
        <v>0.11475877389767174</v>
      </c>
      <c r="J12" s="413"/>
      <c r="K12" s="145" t="s">
        <v>56</v>
      </c>
      <c r="O12" s="278"/>
      <c r="P12" s="278"/>
    </row>
    <row r="13" spans="1:16">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row>
    <row r="14" spans="1:16" ht="13.5" thickBot="1">
      <c r="C14" s="472" t="s">
        <v>60</v>
      </c>
      <c r="D14" s="473" t="s">
        <v>61</v>
      </c>
      <c r="E14" s="278" t="s">
        <v>62</v>
      </c>
      <c r="F14" s="408"/>
      <c r="G14" s="220"/>
      <c r="H14" s="220"/>
      <c r="I14" s="477">
        <f>IF(D10=0,0,D10/D13)</f>
        <v>2656953.9090909092</v>
      </c>
      <c r="J14" s="294"/>
      <c r="K14" s="294"/>
      <c r="L14" s="294"/>
      <c r="M14" s="294"/>
      <c r="N14" s="294"/>
      <c r="O14" s="278"/>
      <c r="P14" s="278"/>
    </row>
    <row r="15" spans="1:16"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row>
    <row r="16" spans="1:16"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row>
    <row r="17" spans="2:16">
      <c r="B17" s="145" t="str">
        <f t="shared" ref="B17:B71" si="0">IF(D17=F16,"","IU")</f>
        <v>IU</v>
      </c>
      <c r="C17" s="495">
        <f>IF(D11= "","-",D11)</f>
        <v>2017</v>
      </c>
      <c r="D17" s="612">
        <v>0</v>
      </c>
      <c r="E17" s="620">
        <v>0</v>
      </c>
      <c r="F17" s="612">
        <v>82823000</v>
      </c>
      <c r="G17" s="620">
        <v>4552779.1652027937</v>
      </c>
      <c r="H17" s="617">
        <v>4552779.1652027937</v>
      </c>
      <c r="I17" s="500">
        <f t="shared" ref="I17:I71" si="1">H17-G17</f>
        <v>0</v>
      </c>
      <c r="J17" s="500"/>
      <c r="K17" s="501">
        <f>+G17</f>
        <v>4552779.1652027937</v>
      </c>
      <c r="L17" s="503">
        <f t="shared" ref="L17:L71" si="2">IF(K17&lt;&gt;0,+G17-K17,0)</f>
        <v>0</v>
      </c>
      <c r="M17" s="501">
        <f>+H17</f>
        <v>4552779.1652027937</v>
      </c>
      <c r="N17" s="503">
        <f t="shared" ref="N17:N71" si="3">IF(M17&lt;&gt;0,+H17-M17,0)</f>
        <v>0</v>
      </c>
      <c r="O17" s="504">
        <f t="shared" ref="O17:O71" si="4">+N17-L17</f>
        <v>0</v>
      </c>
      <c r="P17" s="278"/>
    </row>
    <row r="18" spans="2:16">
      <c r="B18" s="145" t="str">
        <f t="shared" si="0"/>
        <v/>
      </c>
      <c r="C18" s="495">
        <f>IF(D11="","-",+C17+1)</f>
        <v>2018</v>
      </c>
      <c r="D18" s="614">
        <v>82823000</v>
      </c>
      <c r="E18" s="613">
        <v>2031199.4497102054</v>
      </c>
      <c r="F18" s="614">
        <v>80791800.550289795</v>
      </c>
      <c r="G18" s="613">
        <v>10344766.031909464</v>
      </c>
      <c r="H18" s="617">
        <v>10344766.031909464</v>
      </c>
      <c r="I18" s="500">
        <f t="shared" si="1"/>
        <v>0</v>
      </c>
      <c r="J18" s="500"/>
      <c r="K18" s="592">
        <f>+G18</f>
        <v>10344766.031909464</v>
      </c>
      <c r="L18" s="596">
        <f t="shared" si="2"/>
        <v>0</v>
      </c>
      <c r="M18" s="592">
        <f>+H18</f>
        <v>10344766.031909464</v>
      </c>
      <c r="N18" s="504">
        <f t="shared" si="3"/>
        <v>0</v>
      </c>
      <c r="O18" s="504">
        <f t="shared" si="4"/>
        <v>0</v>
      </c>
      <c r="P18" s="278"/>
    </row>
    <row r="19" spans="2:16">
      <c r="B19" s="145" t="str">
        <f t="shared" si="0"/>
        <v/>
      </c>
      <c r="C19" s="495">
        <f>IF(D11="","-",+C18+1)</f>
        <v>2019</v>
      </c>
      <c r="D19" s="614">
        <v>80791800.550289795</v>
      </c>
      <c r="E19" s="613">
        <v>2456434.6786346282</v>
      </c>
      <c r="F19" s="614">
        <v>78335365.871655166</v>
      </c>
      <c r="G19" s="613">
        <v>10725952.439931182</v>
      </c>
      <c r="H19" s="617">
        <v>10725952.439931182</v>
      </c>
      <c r="I19" s="500">
        <f t="shared" si="1"/>
        <v>0</v>
      </c>
      <c r="J19" s="500"/>
      <c r="K19" s="592">
        <f>+G19</f>
        <v>10725952.439931182</v>
      </c>
      <c r="L19" s="596">
        <f t="shared" ref="L19" si="5">IF(K19&lt;&gt;0,+G19-K19,0)</f>
        <v>0</v>
      </c>
      <c r="M19" s="592">
        <f>+H19</f>
        <v>10725952.439931182</v>
      </c>
      <c r="N19" s="504">
        <f t="shared" ref="N19" si="6">IF(M19&lt;&gt;0,+H19-M19,0)</f>
        <v>0</v>
      </c>
      <c r="O19" s="504">
        <f t="shared" ref="O19" si="7">+N19-L19</f>
        <v>0</v>
      </c>
      <c r="P19" s="278"/>
    </row>
    <row r="20" spans="2:16">
      <c r="B20" s="145" t="str">
        <f t="shared" si="0"/>
        <v>IU</v>
      </c>
      <c r="C20" s="495">
        <f>IF(D11="","-",+C19+1)</f>
        <v>2020</v>
      </c>
      <c r="D20" s="614">
        <v>84194797.10057959</v>
      </c>
      <c r="E20" s="613">
        <v>2584327.8381604804</v>
      </c>
      <c r="F20" s="614">
        <v>81610469.262419105</v>
      </c>
      <c r="G20" s="613">
        <v>11283505.602105767</v>
      </c>
      <c r="H20" s="617">
        <v>11283505.602105767</v>
      </c>
      <c r="I20" s="500">
        <f t="shared" si="1"/>
        <v>0</v>
      </c>
      <c r="J20" s="500"/>
      <c r="K20" s="592">
        <f>+G20</f>
        <v>11283505.602105767</v>
      </c>
      <c r="L20" s="596">
        <f t="shared" ref="L20" si="8">IF(K20&lt;&gt;0,+G20-K20,0)</f>
        <v>0</v>
      </c>
      <c r="M20" s="592">
        <f>+H20</f>
        <v>11283505.602105767</v>
      </c>
      <c r="N20" s="504">
        <f t="shared" si="3"/>
        <v>0</v>
      </c>
      <c r="O20" s="504">
        <f t="shared" si="4"/>
        <v>0</v>
      </c>
      <c r="P20" s="278"/>
    </row>
    <row r="21" spans="2:16">
      <c r="B21" s="145" t="str">
        <f t="shared" si="0"/>
        <v>IU</v>
      </c>
      <c r="C21" s="495">
        <f>IF(D11="","-",+C20+1)</f>
        <v>2021</v>
      </c>
      <c r="D21" s="614">
        <v>80497433.033494681</v>
      </c>
      <c r="E21" s="613">
        <v>2824819.1935483869</v>
      </c>
      <c r="F21" s="614">
        <v>77672613.8399463</v>
      </c>
      <c r="G21" s="613">
        <v>11380637.767430846</v>
      </c>
      <c r="H21" s="617">
        <v>11380637.767430846</v>
      </c>
      <c r="I21" s="500">
        <f t="shared" si="1"/>
        <v>0</v>
      </c>
      <c r="J21" s="500"/>
      <c r="K21" s="592">
        <f>+G21</f>
        <v>11380637.767430846</v>
      </c>
      <c r="L21" s="596">
        <f t="shared" ref="L21" si="9">IF(K21&lt;&gt;0,+G21-K21,0)</f>
        <v>0</v>
      </c>
      <c r="M21" s="592">
        <f>+H21</f>
        <v>11380637.767430846</v>
      </c>
      <c r="N21" s="504">
        <f t="shared" si="3"/>
        <v>0</v>
      </c>
      <c r="O21" s="504">
        <f t="shared" si="4"/>
        <v>0</v>
      </c>
      <c r="P21" s="278"/>
    </row>
    <row r="22" spans="2:16">
      <c r="B22" s="145" t="str">
        <f t="shared" si="0"/>
        <v>IU</v>
      </c>
      <c r="C22" s="495">
        <f>IF(D11="","-",+C21+1)</f>
        <v>2022</v>
      </c>
      <c r="D22" s="508">
        <f>IF(F21+SUM(E$17:E21)=D$10,F21,D$10-SUM(E$17:E21))</f>
        <v>77782697.8399463</v>
      </c>
      <c r="E22" s="509">
        <f t="shared" ref="E22:E49" si="10">IF(+I$14&lt;F21,I$14,D22)</f>
        <v>2656953.9090909092</v>
      </c>
      <c r="F22" s="510">
        <f t="shared" ref="F22:F71" si="11">+D22-E22</f>
        <v>75125743.930855393</v>
      </c>
      <c r="G22" s="511">
        <f t="shared" ref="G22:G71" si="12">(D22+F22)/2*I$12+E22</f>
        <v>11430746.557201277</v>
      </c>
      <c r="H22" s="477">
        <f t="shared" ref="H22:H71" si="13">+(D22+F22)/2*I$13+E22</f>
        <v>11430746.557201277</v>
      </c>
      <c r="I22" s="500">
        <f t="shared" si="1"/>
        <v>0</v>
      </c>
      <c r="J22" s="500"/>
      <c r="K22" s="512"/>
      <c r="L22" s="504">
        <f t="shared" si="2"/>
        <v>0</v>
      </c>
      <c r="M22" s="512"/>
      <c r="N22" s="504">
        <f t="shared" si="3"/>
        <v>0</v>
      </c>
      <c r="O22" s="504">
        <f t="shared" si="4"/>
        <v>0</v>
      </c>
      <c r="P22" s="278"/>
    </row>
    <row r="23" spans="2:16">
      <c r="B23" s="145" t="str">
        <f t="shared" si="0"/>
        <v/>
      </c>
      <c r="C23" s="495">
        <f>IF(D11="","-",+C22+1)</f>
        <v>2023</v>
      </c>
      <c r="D23" s="508">
        <f>IF(F22+SUM(E$17:E22)=D$10,F22,D$10-SUM(E$17:E22))</f>
        <v>75125743.930855393</v>
      </c>
      <c r="E23" s="509">
        <f t="shared" si="10"/>
        <v>2656953.9090909092</v>
      </c>
      <c r="F23" s="510">
        <f t="shared" si="11"/>
        <v>72468790.021764487</v>
      </c>
      <c r="G23" s="511">
        <f t="shared" si="12"/>
        <v>11125837.784291379</v>
      </c>
      <c r="H23" s="477">
        <f t="shared" si="13"/>
        <v>11125837.784291379</v>
      </c>
      <c r="I23" s="500">
        <f t="shared" si="1"/>
        <v>0</v>
      </c>
      <c r="J23" s="500"/>
      <c r="K23" s="512"/>
      <c r="L23" s="504">
        <f t="shared" si="2"/>
        <v>0</v>
      </c>
      <c r="M23" s="512"/>
      <c r="N23" s="504">
        <f t="shared" si="3"/>
        <v>0</v>
      </c>
      <c r="O23" s="504">
        <f t="shared" si="4"/>
        <v>0</v>
      </c>
      <c r="P23" s="278"/>
    </row>
    <row r="24" spans="2:16">
      <c r="B24" s="145" t="str">
        <f t="shared" si="0"/>
        <v/>
      </c>
      <c r="C24" s="495">
        <f>IF(D11="","-",+C23+1)</f>
        <v>2024</v>
      </c>
      <c r="D24" s="508">
        <f>IF(F23+SUM(E$17:E23)=D$10,F23,D$10-SUM(E$17:E23))</f>
        <v>72468790.021764487</v>
      </c>
      <c r="E24" s="509">
        <f t="shared" si="10"/>
        <v>2656953.9090909092</v>
      </c>
      <c r="F24" s="510">
        <f t="shared" si="11"/>
        <v>69811836.112673581</v>
      </c>
      <c r="G24" s="511">
        <f t="shared" si="12"/>
        <v>10820929.011381481</v>
      </c>
      <c r="H24" s="477">
        <f t="shared" si="13"/>
        <v>10820929.011381481</v>
      </c>
      <c r="I24" s="500">
        <f t="shared" si="1"/>
        <v>0</v>
      </c>
      <c r="J24" s="500"/>
      <c r="K24" s="512"/>
      <c r="L24" s="504">
        <f t="shared" si="2"/>
        <v>0</v>
      </c>
      <c r="M24" s="512"/>
      <c r="N24" s="504">
        <f t="shared" si="3"/>
        <v>0</v>
      </c>
      <c r="O24" s="504">
        <f t="shared" si="4"/>
        <v>0</v>
      </c>
      <c r="P24" s="278"/>
    </row>
    <row r="25" spans="2:16">
      <c r="B25" s="145" t="str">
        <f t="shared" si="0"/>
        <v/>
      </c>
      <c r="C25" s="495">
        <f>IF(D11="","-",+C24+1)</f>
        <v>2025</v>
      </c>
      <c r="D25" s="508">
        <f>IF(F24+SUM(E$17:E24)=D$10,F24,D$10-SUM(E$17:E24))</f>
        <v>69811836.112673581</v>
      </c>
      <c r="E25" s="509">
        <f t="shared" si="10"/>
        <v>2656953.9090909092</v>
      </c>
      <c r="F25" s="510">
        <f t="shared" si="11"/>
        <v>67154882.203582674</v>
      </c>
      <c r="G25" s="511">
        <f t="shared" si="12"/>
        <v>10516020.238471583</v>
      </c>
      <c r="H25" s="477">
        <f t="shared" si="13"/>
        <v>10516020.238471583</v>
      </c>
      <c r="I25" s="500">
        <f t="shared" si="1"/>
        <v>0</v>
      </c>
      <c r="J25" s="500"/>
      <c r="K25" s="512"/>
      <c r="L25" s="504">
        <f t="shared" si="2"/>
        <v>0</v>
      </c>
      <c r="M25" s="512"/>
      <c r="N25" s="504">
        <f t="shared" si="3"/>
        <v>0</v>
      </c>
      <c r="O25" s="504">
        <f t="shared" si="4"/>
        <v>0</v>
      </c>
      <c r="P25" s="278"/>
    </row>
    <row r="26" spans="2:16">
      <c r="B26" s="145" t="str">
        <f t="shared" si="0"/>
        <v/>
      </c>
      <c r="C26" s="495">
        <f>IF(D11="","-",+C25+1)</f>
        <v>2026</v>
      </c>
      <c r="D26" s="508">
        <f>IF(F25+SUM(E$17:E25)=D$10,F25,D$10-SUM(E$17:E25))</f>
        <v>67154882.203582674</v>
      </c>
      <c r="E26" s="509">
        <f t="shared" si="10"/>
        <v>2656953.9090909092</v>
      </c>
      <c r="F26" s="510">
        <f t="shared" si="11"/>
        <v>64497928.294491768</v>
      </c>
      <c r="G26" s="511">
        <f t="shared" si="12"/>
        <v>10211111.465561684</v>
      </c>
      <c r="H26" s="477">
        <f t="shared" si="13"/>
        <v>10211111.465561684</v>
      </c>
      <c r="I26" s="500">
        <f t="shared" si="1"/>
        <v>0</v>
      </c>
      <c r="J26" s="500"/>
      <c r="K26" s="512"/>
      <c r="L26" s="504">
        <f t="shared" si="2"/>
        <v>0</v>
      </c>
      <c r="M26" s="512"/>
      <c r="N26" s="504">
        <f t="shared" si="3"/>
        <v>0</v>
      </c>
      <c r="O26" s="504">
        <f t="shared" si="4"/>
        <v>0</v>
      </c>
      <c r="P26" s="278"/>
    </row>
    <row r="27" spans="2:16">
      <c r="B27" s="145" t="str">
        <f t="shared" si="0"/>
        <v/>
      </c>
      <c r="C27" s="495">
        <f>IF(D11="","-",+C26+1)</f>
        <v>2027</v>
      </c>
      <c r="D27" s="508">
        <f>IF(F26+SUM(E$17:E26)=D$10,F26,D$10-SUM(E$17:E26))</f>
        <v>64497928.294491768</v>
      </c>
      <c r="E27" s="509">
        <f t="shared" si="10"/>
        <v>2656953.9090909092</v>
      </c>
      <c r="F27" s="510">
        <f t="shared" si="11"/>
        <v>61840974.385400862</v>
      </c>
      <c r="G27" s="511">
        <f t="shared" si="12"/>
        <v>9906202.6926517859</v>
      </c>
      <c r="H27" s="477">
        <f t="shared" si="13"/>
        <v>9906202.6926517859</v>
      </c>
      <c r="I27" s="500">
        <f t="shared" si="1"/>
        <v>0</v>
      </c>
      <c r="J27" s="500"/>
      <c r="K27" s="512"/>
      <c r="L27" s="504">
        <f t="shared" si="2"/>
        <v>0</v>
      </c>
      <c r="M27" s="512"/>
      <c r="N27" s="504">
        <f t="shared" si="3"/>
        <v>0</v>
      </c>
      <c r="O27" s="504">
        <f t="shared" si="4"/>
        <v>0</v>
      </c>
      <c r="P27" s="278"/>
    </row>
    <row r="28" spans="2:16">
      <c r="B28" s="145" t="str">
        <f t="shared" si="0"/>
        <v/>
      </c>
      <c r="C28" s="495">
        <f>IF(D11="","-",+C27+1)</f>
        <v>2028</v>
      </c>
      <c r="D28" s="508">
        <f>IF(F27+SUM(E$17:E27)=D$10,F27,D$10-SUM(E$17:E27))</f>
        <v>61840974.385400862</v>
      </c>
      <c r="E28" s="509">
        <f t="shared" si="10"/>
        <v>2656953.9090909092</v>
      </c>
      <c r="F28" s="510">
        <f t="shared" si="11"/>
        <v>59184020.476309955</v>
      </c>
      <c r="G28" s="511">
        <f t="shared" si="12"/>
        <v>9601293.9197418876</v>
      </c>
      <c r="H28" s="477">
        <f t="shared" si="13"/>
        <v>9601293.9197418876</v>
      </c>
      <c r="I28" s="500">
        <f t="shared" si="1"/>
        <v>0</v>
      </c>
      <c r="J28" s="500"/>
      <c r="K28" s="512"/>
      <c r="L28" s="504">
        <f t="shared" si="2"/>
        <v>0</v>
      </c>
      <c r="M28" s="512"/>
      <c r="N28" s="504">
        <f t="shared" si="3"/>
        <v>0</v>
      </c>
      <c r="O28" s="504">
        <f t="shared" si="4"/>
        <v>0</v>
      </c>
      <c r="P28" s="278"/>
    </row>
    <row r="29" spans="2:16">
      <c r="B29" s="145" t="str">
        <f t="shared" si="0"/>
        <v/>
      </c>
      <c r="C29" s="495">
        <f>IF(D11="","-",+C28+1)</f>
        <v>2029</v>
      </c>
      <c r="D29" s="508">
        <f>IF(F28+SUM(E$17:E28)=D$10,F28,D$10-SUM(E$17:E28))</f>
        <v>59184020.476309955</v>
      </c>
      <c r="E29" s="509">
        <f t="shared" si="10"/>
        <v>2656953.9090909092</v>
      </c>
      <c r="F29" s="510">
        <f t="shared" si="11"/>
        <v>56527066.567219049</v>
      </c>
      <c r="G29" s="511">
        <f t="shared" si="12"/>
        <v>9296385.1468319893</v>
      </c>
      <c r="H29" s="477">
        <f t="shared" si="13"/>
        <v>9296385.1468319893</v>
      </c>
      <c r="I29" s="500">
        <f t="shared" si="1"/>
        <v>0</v>
      </c>
      <c r="J29" s="500"/>
      <c r="K29" s="512"/>
      <c r="L29" s="504">
        <f t="shared" si="2"/>
        <v>0</v>
      </c>
      <c r="M29" s="512"/>
      <c r="N29" s="504">
        <f t="shared" si="3"/>
        <v>0</v>
      </c>
      <c r="O29" s="504">
        <f t="shared" si="4"/>
        <v>0</v>
      </c>
      <c r="P29" s="278"/>
    </row>
    <row r="30" spans="2:16">
      <c r="B30" s="145" t="str">
        <f t="shared" si="0"/>
        <v/>
      </c>
      <c r="C30" s="495">
        <f>IF(D11="","-",+C29+1)</f>
        <v>2030</v>
      </c>
      <c r="D30" s="508">
        <f>IF(F29+SUM(E$17:E29)=D$10,F29,D$10-SUM(E$17:E29))</f>
        <v>56527066.567219049</v>
      </c>
      <c r="E30" s="509">
        <f t="shared" si="10"/>
        <v>2656953.9090909092</v>
      </c>
      <c r="F30" s="510">
        <f t="shared" si="11"/>
        <v>53870112.658128142</v>
      </c>
      <c r="G30" s="511">
        <f t="shared" si="12"/>
        <v>8991476.373922091</v>
      </c>
      <c r="H30" s="477">
        <f t="shared" si="13"/>
        <v>8991476.373922091</v>
      </c>
      <c r="I30" s="500">
        <f t="shared" si="1"/>
        <v>0</v>
      </c>
      <c r="J30" s="500"/>
      <c r="K30" s="512"/>
      <c r="L30" s="504">
        <f t="shared" si="2"/>
        <v>0</v>
      </c>
      <c r="M30" s="512"/>
      <c r="N30" s="504">
        <f t="shared" si="3"/>
        <v>0</v>
      </c>
      <c r="O30" s="504">
        <f t="shared" si="4"/>
        <v>0</v>
      </c>
      <c r="P30" s="278"/>
    </row>
    <row r="31" spans="2:16">
      <c r="B31" s="145" t="str">
        <f t="shared" si="0"/>
        <v/>
      </c>
      <c r="C31" s="495">
        <f>IF(D11="","-",+C30+1)</f>
        <v>2031</v>
      </c>
      <c r="D31" s="508">
        <f>IF(F30+SUM(E$17:E30)=D$10,F30,D$10-SUM(E$17:E30))</f>
        <v>53870112.658128142</v>
      </c>
      <c r="E31" s="509">
        <f t="shared" si="10"/>
        <v>2656953.9090909092</v>
      </c>
      <c r="F31" s="510">
        <f t="shared" si="11"/>
        <v>51213158.749037236</v>
      </c>
      <c r="G31" s="511">
        <f t="shared" si="12"/>
        <v>8686567.6010121927</v>
      </c>
      <c r="H31" s="477">
        <f t="shared" si="13"/>
        <v>8686567.6010121927</v>
      </c>
      <c r="I31" s="500">
        <f t="shared" si="1"/>
        <v>0</v>
      </c>
      <c r="J31" s="500"/>
      <c r="K31" s="512"/>
      <c r="L31" s="504">
        <f t="shared" si="2"/>
        <v>0</v>
      </c>
      <c r="M31" s="512"/>
      <c r="N31" s="504">
        <f t="shared" si="3"/>
        <v>0</v>
      </c>
      <c r="O31" s="504">
        <f t="shared" si="4"/>
        <v>0</v>
      </c>
      <c r="P31" s="278"/>
    </row>
    <row r="32" spans="2:16">
      <c r="B32" s="145" t="str">
        <f t="shared" si="0"/>
        <v/>
      </c>
      <c r="C32" s="495">
        <f>IF(D11="","-",+C31+1)</f>
        <v>2032</v>
      </c>
      <c r="D32" s="508">
        <f>IF(F31+SUM(E$17:E31)=D$10,F31,D$10-SUM(E$17:E31))</f>
        <v>51213158.749037236</v>
      </c>
      <c r="E32" s="509">
        <f t="shared" si="10"/>
        <v>2656953.9090909092</v>
      </c>
      <c r="F32" s="510">
        <f t="shared" si="11"/>
        <v>48556204.83994633</v>
      </c>
      <c r="G32" s="511">
        <f t="shared" si="12"/>
        <v>8381658.8281022934</v>
      </c>
      <c r="H32" s="477">
        <f t="shared" si="13"/>
        <v>8381658.8281022934</v>
      </c>
      <c r="I32" s="500">
        <f t="shared" si="1"/>
        <v>0</v>
      </c>
      <c r="J32" s="500"/>
      <c r="K32" s="512"/>
      <c r="L32" s="504">
        <f t="shared" si="2"/>
        <v>0</v>
      </c>
      <c r="M32" s="512"/>
      <c r="N32" s="504">
        <f t="shared" si="3"/>
        <v>0</v>
      </c>
      <c r="O32" s="504">
        <f t="shared" si="4"/>
        <v>0</v>
      </c>
      <c r="P32" s="278"/>
    </row>
    <row r="33" spans="2:16">
      <c r="B33" s="145" t="str">
        <f t="shared" si="0"/>
        <v/>
      </c>
      <c r="C33" s="495">
        <f>IF(D11="","-",+C32+1)</f>
        <v>2033</v>
      </c>
      <c r="D33" s="508">
        <f>IF(F32+SUM(E$17:E32)=D$10,F32,D$10-SUM(E$17:E32))</f>
        <v>48556204.83994633</v>
      </c>
      <c r="E33" s="509">
        <f t="shared" si="10"/>
        <v>2656953.9090909092</v>
      </c>
      <c r="F33" s="510">
        <f t="shared" si="11"/>
        <v>45899250.930855423</v>
      </c>
      <c r="G33" s="511">
        <f t="shared" si="12"/>
        <v>8076750.0551923951</v>
      </c>
      <c r="H33" s="477">
        <f t="shared" si="13"/>
        <v>8076750.0551923951</v>
      </c>
      <c r="I33" s="500">
        <f t="shared" si="1"/>
        <v>0</v>
      </c>
      <c r="J33" s="500"/>
      <c r="K33" s="512"/>
      <c r="L33" s="504">
        <f t="shared" si="2"/>
        <v>0</v>
      </c>
      <c r="M33" s="512"/>
      <c r="N33" s="504">
        <f t="shared" si="3"/>
        <v>0</v>
      </c>
      <c r="O33" s="504">
        <f t="shared" si="4"/>
        <v>0</v>
      </c>
      <c r="P33" s="278"/>
    </row>
    <row r="34" spans="2:16">
      <c r="B34" s="145" t="str">
        <f t="shared" si="0"/>
        <v/>
      </c>
      <c r="C34" s="495">
        <f>IF(D11="","-",+C33+1)</f>
        <v>2034</v>
      </c>
      <c r="D34" s="508">
        <f>IF(F33+SUM(E$17:E33)=D$10,F33,D$10-SUM(E$17:E33))</f>
        <v>45899250.930855423</v>
      </c>
      <c r="E34" s="509">
        <f t="shared" si="10"/>
        <v>2656953.9090909092</v>
      </c>
      <c r="F34" s="510">
        <f t="shared" si="11"/>
        <v>43242297.021764517</v>
      </c>
      <c r="G34" s="511">
        <f t="shared" si="12"/>
        <v>7771841.2822824968</v>
      </c>
      <c r="H34" s="477">
        <f t="shared" si="13"/>
        <v>7771841.2822824968</v>
      </c>
      <c r="I34" s="500">
        <f t="shared" si="1"/>
        <v>0</v>
      </c>
      <c r="J34" s="500"/>
      <c r="K34" s="512"/>
      <c r="L34" s="504">
        <f t="shared" si="2"/>
        <v>0</v>
      </c>
      <c r="M34" s="512"/>
      <c r="N34" s="504">
        <f t="shared" si="3"/>
        <v>0</v>
      </c>
      <c r="O34" s="504">
        <f t="shared" si="4"/>
        <v>0</v>
      </c>
      <c r="P34" s="278"/>
    </row>
    <row r="35" spans="2:16">
      <c r="B35" s="145" t="str">
        <f t="shared" si="0"/>
        <v/>
      </c>
      <c r="C35" s="495">
        <f>IF(D11="","-",+C34+1)</f>
        <v>2035</v>
      </c>
      <c r="D35" s="508">
        <f>IF(F34+SUM(E$17:E34)=D$10,F34,D$10-SUM(E$17:E34))</f>
        <v>43242297.021764517</v>
      </c>
      <c r="E35" s="509">
        <f t="shared" si="10"/>
        <v>2656953.9090909092</v>
      </c>
      <c r="F35" s="510">
        <f t="shared" si="11"/>
        <v>40585343.11267361</v>
      </c>
      <c r="G35" s="511">
        <f t="shared" si="12"/>
        <v>7466932.5093725985</v>
      </c>
      <c r="H35" s="477">
        <f t="shared" si="13"/>
        <v>7466932.5093725985</v>
      </c>
      <c r="I35" s="500">
        <f t="shared" si="1"/>
        <v>0</v>
      </c>
      <c r="J35" s="500"/>
      <c r="K35" s="512"/>
      <c r="L35" s="504">
        <f t="shared" si="2"/>
        <v>0</v>
      </c>
      <c r="M35" s="512"/>
      <c r="N35" s="504">
        <f t="shared" si="3"/>
        <v>0</v>
      </c>
      <c r="O35" s="504">
        <f t="shared" si="4"/>
        <v>0</v>
      </c>
      <c r="P35" s="278"/>
    </row>
    <row r="36" spans="2:16">
      <c r="B36" s="145" t="str">
        <f t="shared" si="0"/>
        <v/>
      </c>
      <c r="C36" s="495">
        <f>IF(D11="","-",+C35+1)</f>
        <v>2036</v>
      </c>
      <c r="D36" s="508">
        <f>IF(F35+SUM(E$17:E35)=D$10,F35,D$10-SUM(E$17:E35))</f>
        <v>40585343.11267361</v>
      </c>
      <c r="E36" s="509">
        <f t="shared" si="10"/>
        <v>2656953.9090909092</v>
      </c>
      <c r="F36" s="510">
        <f t="shared" si="11"/>
        <v>37928389.203582704</v>
      </c>
      <c r="G36" s="511">
        <f t="shared" si="12"/>
        <v>7162023.7364626992</v>
      </c>
      <c r="H36" s="477">
        <f t="shared" si="13"/>
        <v>7162023.7364626992</v>
      </c>
      <c r="I36" s="500">
        <f t="shared" si="1"/>
        <v>0</v>
      </c>
      <c r="J36" s="500"/>
      <c r="K36" s="512"/>
      <c r="L36" s="504">
        <f t="shared" si="2"/>
        <v>0</v>
      </c>
      <c r="M36" s="512"/>
      <c r="N36" s="504">
        <f t="shared" si="3"/>
        <v>0</v>
      </c>
      <c r="O36" s="504">
        <f t="shared" si="4"/>
        <v>0</v>
      </c>
      <c r="P36" s="278"/>
    </row>
    <row r="37" spans="2:16">
      <c r="B37" s="145" t="str">
        <f t="shared" si="0"/>
        <v/>
      </c>
      <c r="C37" s="495">
        <f>IF(D11="","-",+C36+1)</f>
        <v>2037</v>
      </c>
      <c r="D37" s="508">
        <f>IF(F36+SUM(E$17:E36)=D$10,F36,D$10-SUM(E$17:E36))</f>
        <v>37928389.203582704</v>
      </c>
      <c r="E37" s="509">
        <f t="shared" si="10"/>
        <v>2656953.9090909092</v>
      </c>
      <c r="F37" s="510">
        <f t="shared" si="11"/>
        <v>35271435.294491798</v>
      </c>
      <c r="G37" s="511">
        <f t="shared" si="12"/>
        <v>6857114.9635528009</v>
      </c>
      <c r="H37" s="477">
        <f t="shared" si="13"/>
        <v>6857114.9635528009</v>
      </c>
      <c r="I37" s="500">
        <f t="shared" si="1"/>
        <v>0</v>
      </c>
      <c r="J37" s="500"/>
      <c r="K37" s="512"/>
      <c r="L37" s="504">
        <f t="shared" si="2"/>
        <v>0</v>
      </c>
      <c r="M37" s="512"/>
      <c r="N37" s="504">
        <f t="shared" si="3"/>
        <v>0</v>
      </c>
      <c r="O37" s="504">
        <f t="shared" si="4"/>
        <v>0</v>
      </c>
      <c r="P37" s="278"/>
    </row>
    <row r="38" spans="2:16">
      <c r="B38" s="145" t="str">
        <f t="shared" si="0"/>
        <v/>
      </c>
      <c r="C38" s="495">
        <f>IF(D11="","-",+C37+1)</f>
        <v>2038</v>
      </c>
      <c r="D38" s="508">
        <f>IF(F37+SUM(E$17:E37)=D$10,F37,D$10-SUM(E$17:E37))</f>
        <v>35271435.294491798</v>
      </c>
      <c r="E38" s="509">
        <f t="shared" si="10"/>
        <v>2656953.9090909092</v>
      </c>
      <c r="F38" s="510">
        <f t="shared" si="11"/>
        <v>32614481.385400888</v>
      </c>
      <c r="G38" s="511">
        <f t="shared" si="12"/>
        <v>6552206.1906429026</v>
      </c>
      <c r="H38" s="477">
        <f t="shared" si="13"/>
        <v>6552206.1906429026</v>
      </c>
      <c r="I38" s="500">
        <f t="shared" si="1"/>
        <v>0</v>
      </c>
      <c r="J38" s="500"/>
      <c r="K38" s="512"/>
      <c r="L38" s="504">
        <f t="shared" si="2"/>
        <v>0</v>
      </c>
      <c r="M38" s="512"/>
      <c r="N38" s="504">
        <f t="shared" si="3"/>
        <v>0</v>
      </c>
      <c r="O38" s="504">
        <f t="shared" si="4"/>
        <v>0</v>
      </c>
      <c r="P38" s="278"/>
    </row>
    <row r="39" spans="2:16">
      <c r="B39" s="145" t="str">
        <f t="shared" si="0"/>
        <v/>
      </c>
      <c r="C39" s="495">
        <f>IF(D11="","-",+C38+1)</f>
        <v>2039</v>
      </c>
      <c r="D39" s="508">
        <f>IF(F38+SUM(E$17:E38)=D$10,F38,D$10-SUM(E$17:E38))</f>
        <v>32614481.385400888</v>
      </c>
      <c r="E39" s="509">
        <f t="shared" si="10"/>
        <v>2656953.9090909092</v>
      </c>
      <c r="F39" s="510">
        <f t="shared" si="11"/>
        <v>29957527.476309977</v>
      </c>
      <c r="G39" s="511">
        <f t="shared" si="12"/>
        <v>6247297.4177330043</v>
      </c>
      <c r="H39" s="477">
        <f t="shared" si="13"/>
        <v>6247297.4177330043</v>
      </c>
      <c r="I39" s="500">
        <f t="shared" si="1"/>
        <v>0</v>
      </c>
      <c r="J39" s="500"/>
      <c r="K39" s="512"/>
      <c r="L39" s="504">
        <f t="shared" si="2"/>
        <v>0</v>
      </c>
      <c r="M39" s="512"/>
      <c r="N39" s="504">
        <f t="shared" si="3"/>
        <v>0</v>
      </c>
      <c r="O39" s="504">
        <f t="shared" si="4"/>
        <v>0</v>
      </c>
      <c r="P39" s="278"/>
    </row>
    <row r="40" spans="2:16">
      <c r="B40" s="145" t="str">
        <f t="shared" si="0"/>
        <v/>
      </c>
      <c r="C40" s="495">
        <f>IF(D11="","-",+C39+1)</f>
        <v>2040</v>
      </c>
      <c r="D40" s="508">
        <f>IF(F39+SUM(E$17:E39)=D$10,F39,D$10-SUM(E$17:E39))</f>
        <v>29957527.476309977</v>
      </c>
      <c r="E40" s="509">
        <f t="shared" si="10"/>
        <v>2656953.9090909092</v>
      </c>
      <c r="F40" s="510">
        <f t="shared" si="11"/>
        <v>27300573.567219067</v>
      </c>
      <c r="G40" s="511">
        <f t="shared" si="12"/>
        <v>5942388.6448231051</v>
      </c>
      <c r="H40" s="477">
        <f t="shared" si="13"/>
        <v>5942388.6448231051</v>
      </c>
      <c r="I40" s="500">
        <f t="shared" si="1"/>
        <v>0</v>
      </c>
      <c r="J40" s="500"/>
      <c r="K40" s="512"/>
      <c r="L40" s="504">
        <f t="shared" si="2"/>
        <v>0</v>
      </c>
      <c r="M40" s="512"/>
      <c r="N40" s="504">
        <f t="shared" si="3"/>
        <v>0</v>
      </c>
      <c r="O40" s="504">
        <f t="shared" si="4"/>
        <v>0</v>
      </c>
      <c r="P40" s="278"/>
    </row>
    <row r="41" spans="2:16">
      <c r="B41" s="145" t="str">
        <f t="shared" si="0"/>
        <v/>
      </c>
      <c r="C41" s="495">
        <f>IF(D11="","-",+C40+1)</f>
        <v>2041</v>
      </c>
      <c r="D41" s="508">
        <f>IF(F40+SUM(E$17:E40)=D$10,F40,D$10-SUM(E$17:E40))</f>
        <v>27300573.567219067</v>
      </c>
      <c r="E41" s="509">
        <f t="shared" si="10"/>
        <v>2656953.9090909092</v>
      </c>
      <c r="F41" s="510">
        <f t="shared" si="11"/>
        <v>24643619.658128157</v>
      </c>
      <c r="G41" s="511">
        <f t="shared" si="12"/>
        <v>5637479.8719132058</v>
      </c>
      <c r="H41" s="477">
        <f t="shared" si="13"/>
        <v>5637479.8719132058</v>
      </c>
      <c r="I41" s="500">
        <f t="shared" si="1"/>
        <v>0</v>
      </c>
      <c r="J41" s="500"/>
      <c r="K41" s="512"/>
      <c r="L41" s="504">
        <f t="shared" si="2"/>
        <v>0</v>
      </c>
      <c r="M41" s="512"/>
      <c r="N41" s="504">
        <f t="shared" si="3"/>
        <v>0</v>
      </c>
      <c r="O41" s="504">
        <f t="shared" si="4"/>
        <v>0</v>
      </c>
      <c r="P41" s="278"/>
    </row>
    <row r="42" spans="2:16">
      <c r="B42" s="145" t="str">
        <f t="shared" si="0"/>
        <v/>
      </c>
      <c r="C42" s="495">
        <f>IF(D11="","-",+C41+1)</f>
        <v>2042</v>
      </c>
      <c r="D42" s="508">
        <f>IF(F41+SUM(E$17:E41)=D$10,F41,D$10-SUM(E$17:E41))</f>
        <v>24643619.658128157</v>
      </c>
      <c r="E42" s="509">
        <f t="shared" si="10"/>
        <v>2656953.9090909092</v>
      </c>
      <c r="F42" s="510">
        <f t="shared" si="11"/>
        <v>21986665.749037247</v>
      </c>
      <c r="G42" s="511">
        <f t="shared" si="12"/>
        <v>5332571.0990033075</v>
      </c>
      <c r="H42" s="477">
        <f t="shared" si="13"/>
        <v>5332571.0990033075</v>
      </c>
      <c r="I42" s="500">
        <f t="shared" si="1"/>
        <v>0</v>
      </c>
      <c r="J42" s="500"/>
      <c r="K42" s="512"/>
      <c r="L42" s="504">
        <f t="shared" si="2"/>
        <v>0</v>
      </c>
      <c r="M42" s="512"/>
      <c r="N42" s="504">
        <f t="shared" si="3"/>
        <v>0</v>
      </c>
      <c r="O42" s="504">
        <f t="shared" si="4"/>
        <v>0</v>
      </c>
      <c r="P42" s="278"/>
    </row>
    <row r="43" spans="2:16">
      <c r="B43" s="145" t="str">
        <f t="shared" si="0"/>
        <v/>
      </c>
      <c r="C43" s="495">
        <f>IF(D11="","-",+C42+1)</f>
        <v>2043</v>
      </c>
      <c r="D43" s="508">
        <f>IF(F42+SUM(E$17:E42)=D$10,F42,D$10-SUM(E$17:E42))</f>
        <v>21986665.749037247</v>
      </c>
      <c r="E43" s="509">
        <f t="shared" si="10"/>
        <v>2656953.9090909092</v>
      </c>
      <c r="F43" s="510">
        <f t="shared" si="11"/>
        <v>19329711.839946337</v>
      </c>
      <c r="G43" s="511">
        <f t="shared" si="12"/>
        <v>5027662.3260934083</v>
      </c>
      <c r="H43" s="477">
        <f t="shared" si="13"/>
        <v>5027662.3260934083</v>
      </c>
      <c r="I43" s="500">
        <f t="shared" si="1"/>
        <v>0</v>
      </c>
      <c r="J43" s="500"/>
      <c r="K43" s="512"/>
      <c r="L43" s="504">
        <f t="shared" si="2"/>
        <v>0</v>
      </c>
      <c r="M43" s="512"/>
      <c r="N43" s="504">
        <f t="shared" si="3"/>
        <v>0</v>
      </c>
      <c r="O43" s="504">
        <f t="shared" si="4"/>
        <v>0</v>
      </c>
      <c r="P43" s="278"/>
    </row>
    <row r="44" spans="2:16">
      <c r="B44" s="145" t="str">
        <f t="shared" si="0"/>
        <v/>
      </c>
      <c r="C44" s="495">
        <f>IF(D11="","-",+C43+1)</f>
        <v>2044</v>
      </c>
      <c r="D44" s="508">
        <f>IF(F43+SUM(E$17:E43)=D$10,F43,D$10-SUM(E$17:E43))</f>
        <v>19329711.839946337</v>
      </c>
      <c r="E44" s="509">
        <f t="shared" si="10"/>
        <v>2656953.9090909092</v>
      </c>
      <c r="F44" s="510">
        <f t="shared" si="11"/>
        <v>16672757.930855427</v>
      </c>
      <c r="G44" s="511">
        <f t="shared" si="12"/>
        <v>4722753.55318351</v>
      </c>
      <c r="H44" s="477">
        <f t="shared" si="13"/>
        <v>4722753.55318351</v>
      </c>
      <c r="I44" s="500">
        <f t="shared" si="1"/>
        <v>0</v>
      </c>
      <c r="J44" s="500"/>
      <c r="K44" s="512"/>
      <c r="L44" s="504">
        <f t="shared" si="2"/>
        <v>0</v>
      </c>
      <c r="M44" s="512"/>
      <c r="N44" s="504">
        <f t="shared" si="3"/>
        <v>0</v>
      </c>
      <c r="O44" s="504">
        <f t="shared" si="4"/>
        <v>0</v>
      </c>
      <c r="P44" s="278"/>
    </row>
    <row r="45" spans="2:16">
      <c r="B45" s="145" t="str">
        <f t="shared" si="0"/>
        <v/>
      </c>
      <c r="C45" s="495">
        <f>IF(D11="","-",+C44+1)</f>
        <v>2045</v>
      </c>
      <c r="D45" s="508">
        <f>IF(F44+SUM(E$17:E44)=D$10,F44,D$10-SUM(E$17:E44))</f>
        <v>16672757.930855427</v>
      </c>
      <c r="E45" s="509">
        <f t="shared" si="10"/>
        <v>2656953.9090909092</v>
      </c>
      <c r="F45" s="510">
        <f t="shared" si="11"/>
        <v>14015804.021764517</v>
      </c>
      <c r="G45" s="511">
        <f t="shared" si="12"/>
        <v>4417844.7802736107</v>
      </c>
      <c r="H45" s="477">
        <f t="shared" si="13"/>
        <v>4417844.7802736107</v>
      </c>
      <c r="I45" s="500">
        <f t="shared" si="1"/>
        <v>0</v>
      </c>
      <c r="J45" s="500"/>
      <c r="K45" s="512"/>
      <c r="L45" s="504">
        <f t="shared" si="2"/>
        <v>0</v>
      </c>
      <c r="M45" s="512"/>
      <c r="N45" s="504">
        <f t="shared" si="3"/>
        <v>0</v>
      </c>
      <c r="O45" s="504">
        <f t="shared" si="4"/>
        <v>0</v>
      </c>
      <c r="P45" s="278"/>
    </row>
    <row r="46" spans="2:16">
      <c r="B46" s="145" t="str">
        <f t="shared" si="0"/>
        <v/>
      </c>
      <c r="C46" s="495">
        <f>IF(D11="","-",+C45+1)</f>
        <v>2046</v>
      </c>
      <c r="D46" s="508">
        <f>IF(F45+SUM(E$17:E45)=D$10,F45,D$10-SUM(E$17:E45))</f>
        <v>14015804.021764517</v>
      </c>
      <c r="E46" s="509">
        <f t="shared" si="10"/>
        <v>2656953.9090909092</v>
      </c>
      <c r="F46" s="510">
        <f t="shared" si="11"/>
        <v>11358850.112673607</v>
      </c>
      <c r="G46" s="511">
        <f t="shared" si="12"/>
        <v>4112936.0073637124</v>
      </c>
      <c r="H46" s="477">
        <f t="shared" si="13"/>
        <v>4112936.0073637124</v>
      </c>
      <c r="I46" s="500">
        <f t="shared" si="1"/>
        <v>0</v>
      </c>
      <c r="J46" s="500"/>
      <c r="K46" s="512"/>
      <c r="L46" s="504">
        <f t="shared" si="2"/>
        <v>0</v>
      </c>
      <c r="M46" s="512"/>
      <c r="N46" s="504">
        <f t="shared" si="3"/>
        <v>0</v>
      </c>
      <c r="O46" s="504">
        <f t="shared" si="4"/>
        <v>0</v>
      </c>
      <c r="P46" s="278"/>
    </row>
    <row r="47" spans="2:16">
      <c r="B47" s="145" t="str">
        <f t="shared" si="0"/>
        <v/>
      </c>
      <c r="C47" s="495">
        <f>IF(D11="","-",+C46+1)</f>
        <v>2047</v>
      </c>
      <c r="D47" s="508">
        <f>IF(F46+SUM(E$17:E46)=D$10,F46,D$10-SUM(E$17:E46))</f>
        <v>11358850.112673607</v>
      </c>
      <c r="E47" s="509">
        <f t="shared" si="10"/>
        <v>2656953.9090909092</v>
      </c>
      <c r="F47" s="510">
        <f t="shared" si="11"/>
        <v>8701896.2035826966</v>
      </c>
      <c r="G47" s="511">
        <f t="shared" si="12"/>
        <v>3808027.2344538132</v>
      </c>
      <c r="H47" s="477">
        <f t="shared" si="13"/>
        <v>3808027.2344538132</v>
      </c>
      <c r="I47" s="500">
        <f t="shared" si="1"/>
        <v>0</v>
      </c>
      <c r="J47" s="500"/>
      <c r="K47" s="512"/>
      <c r="L47" s="504">
        <f t="shared" si="2"/>
        <v>0</v>
      </c>
      <c r="M47" s="512"/>
      <c r="N47" s="504">
        <f t="shared" si="3"/>
        <v>0</v>
      </c>
      <c r="O47" s="504">
        <f t="shared" si="4"/>
        <v>0</v>
      </c>
      <c r="P47" s="278"/>
    </row>
    <row r="48" spans="2:16">
      <c r="B48" s="145" t="str">
        <f t="shared" si="0"/>
        <v/>
      </c>
      <c r="C48" s="495">
        <f>IF(D11="","-",+C47+1)</f>
        <v>2048</v>
      </c>
      <c r="D48" s="508">
        <f>IF(F47+SUM(E$17:E47)=D$10,F47,D$10-SUM(E$17:E47))</f>
        <v>8701896.2035826966</v>
      </c>
      <c r="E48" s="509">
        <f t="shared" si="10"/>
        <v>2656953.9090909092</v>
      </c>
      <c r="F48" s="510">
        <f t="shared" si="11"/>
        <v>6044942.2944917874</v>
      </c>
      <c r="G48" s="511">
        <f t="shared" si="12"/>
        <v>3503118.4615439144</v>
      </c>
      <c r="H48" s="477">
        <f t="shared" si="13"/>
        <v>3503118.4615439144</v>
      </c>
      <c r="I48" s="500">
        <f t="shared" si="1"/>
        <v>0</v>
      </c>
      <c r="J48" s="500"/>
      <c r="K48" s="512"/>
      <c r="L48" s="504">
        <f t="shared" si="2"/>
        <v>0</v>
      </c>
      <c r="M48" s="512"/>
      <c r="N48" s="504">
        <f t="shared" si="3"/>
        <v>0</v>
      </c>
      <c r="O48" s="504">
        <f t="shared" si="4"/>
        <v>0</v>
      </c>
      <c r="P48" s="278"/>
    </row>
    <row r="49" spans="2:16">
      <c r="B49" s="145" t="str">
        <f t="shared" si="0"/>
        <v/>
      </c>
      <c r="C49" s="495">
        <f>IF(D11="","-",+C48+1)</f>
        <v>2049</v>
      </c>
      <c r="D49" s="508">
        <f>IF(F48+SUM(E$17:E48)=D$10,F48,D$10-SUM(E$17:E48))</f>
        <v>6044942.2944917874</v>
      </c>
      <c r="E49" s="509">
        <f t="shared" si="10"/>
        <v>2656953.9090909092</v>
      </c>
      <c r="F49" s="510">
        <f t="shared" si="11"/>
        <v>3387988.3854008783</v>
      </c>
      <c r="G49" s="511">
        <f t="shared" si="12"/>
        <v>3198209.6886340156</v>
      </c>
      <c r="H49" s="477">
        <f t="shared" si="13"/>
        <v>3198209.6886340156</v>
      </c>
      <c r="I49" s="500">
        <f t="shared" si="1"/>
        <v>0</v>
      </c>
      <c r="J49" s="500"/>
      <c r="K49" s="512"/>
      <c r="L49" s="504">
        <f t="shared" si="2"/>
        <v>0</v>
      </c>
      <c r="M49" s="512"/>
      <c r="N49" s="504">
        <f t="shared" si="3"/>
        <v>0</v>
      </c>
      <c r="O49" s="504">
        <f t="shared" si="4"/>
        <v>0</v>
      </c>
      <c r="P49" s="278"/>
    </row>
    <row r="50" spans="2:16">
      <c r="B50" s="145" t="str">
        <f t="shared" si="0"/>
        <v/>
      </c>
      <c r="C50" s="495">
        <f>IF(D11="","-",+C49+1)</f>
        <v>2050</v>
      </c>
      <c r="D50" s="508">
        <f>IF(F49+SUM(E$17:E49)=D$10,F49,D$10-SUM(E$17:E49))</f>
        <v>3387988.3854008783</v>
      </c>
      <c r="E50" s="509">
        <f t="shared" ref="E50:E71" si="14">IF(+I$14&lt;F49,I$14,D50)</f>
        <v>2656953.9090909092</v>
      </c>
      <c r="F50" s="510">
        <f t="shared" si="11"/>
        <v>731034.47630996909</v>
      </c>
      <c r="G50" s="511">
        <f t="shared" si="12"/>
        <v>2893300.9157241173</v>
      </c>
      <c r="H50" s="477">
        <f t="shared" si="13"/>
        <v>2893300.9157241173</v>
      </c>
      <c r="I50" s="500">
        <f t="shared" si="1"/>
        <v>0</v>
      </c>
      <c r="J50" s="500"/>
      <c r="K50" s="512"/>
      <c r="L50" s="504">
        <f t="shared" si="2"/>
        <v>0</v>
      </c>
      <c r="M50" s="512"/>
      <c r="N50" s="504">
        <f t="shared" si="3"/>
        <v>0</v>
      </c>
      <c r="O50" s="504">
        <f t="shared" si="4"/>
        <v>0</v>
      </c>
      <c r="P50" s="278"/>
    </row>
    <row r="51" spans="2:16">
      <c r="B51" s="145" t="str">
        <f t="shared" si="0"/>
        <v/>
      </c>
      <c r="C51" s="495">
        <f>IF(D11="","-",+C50+1)</f>
        <v>2051</v>
      </c>
      <c r="D51" s="508">
        <f>IF(F50+SUM(E$17:E50)=D$10,F50,D$10-SUM(E$17:E50))</f>
        <v>731034.47630996909</v>
      </c>
      <c r="E51" s="509">
        <f t="shared" si="14"/>
        <v>731034.47630996909</v>
      </c>
      <c r="F51" s="510">
        <f t="shared" si="11"/>
        <v>0</v>
      </c>
      <c r="G51" s="511">
        <f t="shared" si="12"/>
        <v>772980.78639909835</v>
      </c>
      <c r="H51" s="477">
        <f t="shared" si="13"/>
        <v>772980.78639909835</v>
      </c>
      <c r="I51" s="500">
        <f t="shared" si="1"/>
        <v>0</v>
      </c>
      <c r="J51" s="500"/>
      <c r="K51" s="512"/>
      <c r="L51" s="504">
        <f t="shared" si="2"/>
        <v>0</v>
      </c>
      <c r="M51" s="512"/>
      <c r="N51" s="504">
        <f t="shared" si="3"/>
        <v>0</v>
      </c>
      <c r="O51" s="504">
        <f t="shared" si="4"/>
        <v>0</v>
      </c>
      <c r="P51" s="278"/>
    </row>
    <row r="52" spans="2:16">
      <c r="B52" s="145" t="str">
        <f t="shared" si="0"/>
        <v/>
      </c>
      <c r="C52" s="495">
        <f>IF(D11="","-",+C51+1)</f>
        <v>2052</v>
      </c>
      <c r="D52" s="508">
        <f>IF(F51+SUM(E$17:E51)=D$10,F51,D$10-SUM(E$17:E51))</f>
        <v>0</v>
      </c>
      <c r="E52" s="509">
        <f t="shared" si="14"/>
        <v>0</v>
      </c>
      <c r="F52" s="510">
        <f t="shared" si="11"/>
        <v>0</v>
      </c>
      <c r="G52" s="511">
        <f t="shared" si="12"/>
        <v>0</v>
      </c>
      <c r="H52" s="477">
        <f t="shared" si="13"/>
        <v>0</v>
      </c>
      <c r="I52" s="500">
        <f t="shared" si="1"/>
        <v>0</v>
      </c>
      <c r="J52" s="500"/>
      <c r="K52" s="512"/>
      <c r="L52" s="504">
        <f t="shared" si="2"/>
        <v>0</v>
      </c>
      <c r="M52" s="512"/>
      <c r="N52" s="504">
        <f t="shared" si="3"/>
        <v>0</v>
      </c>
      <c r="O52" s="504">
        <f t="shared" si="4"/>
        <v>0</v>
      </c>
      <c r="P52" s="278"/>
    </row>
    <row r="53" spans="2:16">
      <c r="B53" s="145" t="str">
        <f t="shared" si="0"/>
        <v/>
      </c>
      <c r="C53" s="495">
        <f>IF(D11="","-",+C52+1)</f>
        <v>2053</v>
      </c>
      <c r="D53" s="508">
        <f>IF(F52+SUM(E$17:E52)=D$10,F52,D$10-SUM(E$17:E52))</f>
        <v>0</v>
      </c>
      <c r="E53" s="509">
        <f t="shared" si="14"/>
        <v>0</v>
      </c>
      <c r="F53" s="510">
        <f t="shared" si="11"/>
        <v>0</v>
      </c>
      <c r="G53" s="511">
        <f t="shared" si="12"/>
        <v>0</v>
      </c>
      <c r="H53" s="477">
        <f t="shared" si="13"/>
        <v>0</v>
      </c>
      <c r="I53" s="500">
        <f t="shared" si="1"/>
        <v>0</v>
      </c>
      <c r="J53" s="500"/>
      <c r="K53" s="512"/>
      <c r="L53" s="504">
        <f t="shared" si="2"/>
        <v>0</v>
      </c>
      <c r="M53" s="512"/>
      <c r="N53" s="504">
        <f t="shared" si="3"/>
        <v>0</v>
      </c>
      <c r="O53" s="504">
        <f t="shared" si="4"/>
        <v>0</v>
      </c>
      <c r="P53" s="278"/>
    </row>
    <row r="54" spans="2:16">
      <c r="B54" s="145" t="str">
        <f t="shared" si="0"/>
        <v/>
      </c>
      <c r="C54" s="495">
        <f>IF(D11="","-",+C53+1)</f>
        <v>2054</v>
      </c>
      <c r="D54" s="508">
        <f>IF(F53+SUM(E$17:E53)=D$10,F53,D$10-SUM(E$17:E53))</f>
        <v>0</v>
      </c>
      <c r="E54" s="509">
        <f t="shared" si="14"/>
        <v>0</v>
      </c>
      <c r="F54" s="510">
        <f t="shared" si="11"/>
        <v>0</v>
      </c>
      <c r="G54" s="511">
        <f t="shared" si="12"/>
        <v>0</v>
      </c>
      <c r="H54" s="477">
        <f t="shared" si="13"/>
        <v>0</v>
      </c>
      <c r="I54" s="500">
        <f t="shared" si="1"/>
        <v>0</v>
      </c>
      <c r="J54" s="500"/>
      <c r="K54" s="512"/>
      <c r="L54" s="504">
        <f t="shared" si="2"/>
        <v>0</v>
      </c>
      <c r="M54" s="512"/>
      <c r="N54" s="504">
        <f t="shared" si="3"/>
        <v>0</v>
      </c>
      <c r="O54" s="504">
        <f t="shared" si="4"/>
        <v>0</v>
      </c>
      <c r="P54" s="278"/>
    </row>
    <row r="55" spans="2:16">
      <c r="B55" s="145" t="str">
        <f t="shared" si="0"/>
        <v/>
      </c>
      <c r="C55" s="495">
        <f>IF(D11="","-",+C54+1)</f>
        <v>2055</v>
      </c>
      <c r="D55" s="508">
        <f>IF(F54+SUM(E$17:E54)=D$10,F54,D$10-SUM(E$17:E54))</f>
        <v>0</v>
      </c>
      <c r="E55" s="509">
        <f t="shared" si="14"/>
        <v>0</v>
      </c>
      <c r="F55" s="510">
        <f t="shared" si="11"/>
        <v>0</v>
      </c>
      <c r="G55" s="511">
        <f t="shared" si="12"/>
        <v>0</v>
      </c>
      <c r="H55" s="477">
        <f t="shared" si="13"/>
        <v>0</v>
      </c>
      <c r="I55" s="500">
        <f t="shared" si="1"/>
        <v>0</v>
      </c>
      <c r="J55" s="500"/>
      <c r="K55" s="512"/>
      <c r="L55" s="504">
        <f t="shared" si="2"/>
        <v>0</v>
      </c>
      <c r="M55" s="512"/>
      <c r="N55" s="504">
        <f t="shared" si="3"/>
        <v>0</v>
      </c>
      <c r="O55" s="504">
        <f t="shared" si="4"/>
        <v>0</v>
      </c>
      <c r="P55" s="278"/>
    </row>
    <row r="56" spans="2:16">
      <c r="B56" s="145" t="str">
        <f t="shared" si="0"/>
        <v/>
      </c>
      <c r="C56" s="495">
        <f>IF(D11="","-",+C55+1)</f>
        <v>2056</v>
      </c>
      <c r="D56" s="508">
        <f>IF(F55+SUM(E$17:E55)=D$10,F55,D$10-SUM(E$17:E55))</f>
        <v>0</v>
      </c>
      <c r="E56" s="509">
        <f t="shared" si="14"/>
        <v>0</v>
      </c>
      <c r="F56" s="510">
        <f t="shared" si="11"/>
        <v>0</v>
      </c>
      <c r="G56" s="511">
        <f t="shared" si="12"/>
        <v>0</v>
      </c>
      <c r="H56" s="477">
        <f t="shared" si="13"/>
        <v>0</v>
      </c>
      <c r="I56" s="500">
        <f t="shared" si="1"/>
        <v>0</v>
      </c>
      <c r="J56" s="500"/>
      <c r="K56" s="512"/>
      <c r="L56" s="504">
        <f t="shared" si="2"/>
        <v>0</v>
      </c>
      <c r="M56" s="512"/>
      <c r="N56" s="504">
        <f t="shared" si="3"/>
        <v>0</v>
      </c>
      <c r="O56" s="504">
        <f t="shared" si="4"/>
        <v>0</v>
      </c>
      <c r="P56" s="278"/>
    </row>
    <row r="57" spans="2:16">
      <c r="B57" s="145" t="str">
        <f t="shared" si="0"/>
        <v/>
      </c>
      <c r="C57" s="495">
        <f>IF(D11="","-",+C56+1)</f>
        <v>2057</v>
      </c>
      <c r="D57" s="508">
        <f>IF(F56+SUM(E$17:E56)=D$10,F56,D$10-SUM(E$17:E56))</f>
        <v>0</v>
      </c>
      <c r="E57" s="509">
        <f t="shared" si="14"/>
        <v>0</v>
      </c>
      <c r="F57" s="510">
        <f t="shared" si="11"/>
        <v>0</v>
      </c>
      <c r="G57" s="511">
        <f t="shared" si="12"/>
        <v>0</v>
      </c>
      <c r="H57" s="477">
        <f t="shared" si="13"/>
        <v>0</v>
      </c>
      <c r="I57" s="500">
        <f t="shared" si="1"/>
        <v>0</v>
      </c>
      <c r="J57" s="500"/>
      <c r="K57" s="512"/>
      <c r="L57" s="504">
        <f t="shared" si="2"/>
        <v>0</v>
      </c>
      <c r="M57" s="512"/>
      <c r="N57" s="504">
        <f t="shared" si="3"/>
        <v>0</v>
      </c>
      <c r="O57" s="504">
        <f t="shared" si="4"/>
        <v>0</v>
      </c>
      <c r="P57" s="278"/>
    </row>
    <row r="58" spans="2:16">
      <c r="B58" s="145" t="str">
        <f t="shared" si="0"/>
        <v/>
      </c>
      <c r="C58" s="495">
        <f>IF(D11="","-",+C57+1)</f>
        <v>2058</v>
      </c>
      <c r="D58" s="508">
        <f>IF(F57+SUM(E$17:E57)=D$10,F57,D$10-SUM(E$17:E57))</f>
        <v>0</v>
      </c>
      <c r="E58" s="509">
        <f t="shared" si="14"/>
        <v>0</v>
      </c>
      <c r="F58" s="510">
        <f t="shared" si="11"/>
        <v>0</v>
      </c>
      <c r="G58" s="511">
        <f t="shared" si="12"/>
        <v>0</v>
      </c>
      <c r="H58" s="477">
        <f t="shared" si="13"/>
        <v>0</v>
      </c>
      <c r="I58" s="500">
        <f t="shared" si="1"/>
        <v>0</v>
      </c>
      <c r="J58" s="500"/>
      <c r="K58" s="512"/>
      <c r="L58" s="504">
        <f t="shared" si="2"/>
        <v>0</v>
      </c>
      <c r="M58" s="512"/>
      <c r="N58" s="504">
        <f t="shared" si="3"/>
        <v>0</v>
      </c>
      <c r="O58" s="504">
        <f t="shared" si="4"/>
        <v>0</v>
      </c>
      <c r="P58" s="278"/>
    </row>
    <row r="59" spans="2:16">
      <c r="B59" s="145" t="str">
        <f t="shared" si="0"/>
        <v/>
      </c>
      <c r="C59" s="495">
        <f>IF(D11="","-",+C58+1)</f>
        <v>2059</v>
      </c>
      <c r="D59" s="508">
        <f>IF(F58+SUM(E$17:E58)=D$10,F58,D$10-SUM(E$17:E58))</f>
        <v>0</v>
      </c>
      <c r="E59" s="509">
        <f t="shared" si="14"/>
        <v>0</v>
      </c>
      <c r="F59" s="510">
        <f t="shared" si="11"/>
        <v>0</v>
      </c>
      <c r="G59" s="511">
        <f t="shared" si="12"/>
        <v>0</v>
      </c>
      <c r="H59" s="477">
        <f t="shared" si="13"/>
        <v>0</v>
      </c>
      <c r="I59" s="500">
        <f t="shared" si="1"/>
        <v>0</v>
      </c>
      <c r="J59" s="500"/>
      <c r="K59" s="512"/>
      <c r="L59" s="504">
        <f t="shared" si="2"/>
        <v>0</v>
      </c>
      <c r="M59" s="512"/>
      <c r="N59" s="504">
        <f t="shared" si="3"/>
        <v>0</v>
      </c>
      <c r="O59" s="504">
        <f t="shared" si="4"/>
        <v>0</v>
      </c>
      <c r="P59" s="278"/>
    </row>
    <row r="60" spans="2:16">
      <c r="B60" s="145" t="str">
        <f t="shared" si="0"/>
        <v/>
      </c>
      <c r="C60" s="495">
        <f>IF(D11="","-",+C59+1)</f>
        <v>2060</v>
      </c>
      <c r="D60" s="508">
        <f>IF(F59+SUM(E$17:E59)=D$10,F59,D$10-SUM(E$17:E59))</f>
        <v>0</v>
      </c>
      <c r="E60" s="509">
        <f t="shared" si="14"/>
        <v>0</v>
      </c>
      <c r="F60" s="510">
        <f t="shared" si="11"/>
        <v>0</v>
      </c>
      <c r="G60" s="511">
        <f t="shared" si="12"/>
        <v>0</v>
      </c>
      <c r="H60" s="477">
        <f t="shared" si="13"/>
        <v>0</v>
      </c>
      <c r="I60" s="500">
        <f t="shared" si="1"/>
        <v>0</v>
      </c>
      <c r="J60" s="500"/>
      <c r="K60" s="512"/>
      <c r="L60" s="504">
        <f t="shared" si="2"/>
        <v>0</v>
      </c>
      <c r="M60" s="512"/>
      <c r="N60" s="504">
        <f t="shared" si="3"/>
        <v>0</v>
      </c>
      <c r="O60" s="504">
        <f t="shared" si="4"/>
        <v>0</v>
      </c>
      <c r="P60" s="278"/>
    </row>
    <row r="61" spans="2:16">
      <c r="B61" s="145" t="str">
        <f t="shared" si="0"/>
        <v/>
      </c>
      <c r="C61" s="495">
        <f>IF(D11="","-",+C60+1)</f>
        <v>2061</v>
      </c>
      <c r="D61" s="508">
        <f>IF(F60+SUM(E$17:E60)=D$10,F60,D$10-SUM(E$17:E60))</f>
        <v>0</v>
      </c>
      <c r="E61" s="509">
        <f t="shared" si="14"/>
        <v>0</v>
      </c>
      <c r="F61" s="510">
        <f t="shared" si="11"/>
        <v>0</v>
      </c>
      <c r="G61" s="523">
        <f t="shared" si="12"/>
        <v>0</v>
      </c>
      <c r="H61" s="477">
        <f t="shared" si="13"/>
        <v>0</v>
      </c>
      <c r="I61" s="500">
        <f t="shared" si="1"/>
        <v>0</v>
      </c>
      <c r="J61" s="500"/>
      <c r="K61" s="512"/>
      <c r="L61" s="504">
        <f t="shared" si="2"/>
        <v>0</v>
      </c>
      <c r="M61" s="512"/>
      <c r="N61" s="504">
        <f t="shared" si="3"/>
        <v>0</v>
      </c>
      <c r="O61" s="504">
        <f t="shared" si="4"/>
        <v>0</v>
      </c>
      <c r="P61" s="278"/>
    </row>
    <row r="62" spans="2:16">
      <c r="B62" s="145" t="str">
        <f t="shared" si="0"/>
        <v/>
      </c>
      <c r="C62" s="495">
        <f>IF(D11="","-",+C61+1)</f>
        <v>2062</v>
      </c>
      <c r="D62" s="508">
        <f>IF(F61+SUM(E$17:E61)=D$10,F61,D$10-SUM(E$17:E61))</f>
        <v>0</v>
      </c>
      <c r="E62" s="509">
        <f t="shared" si="14"/>
        <v>0</v>
      </c>
      <c r="F62" s="510">
        <f t="shared" si="11"/>
        <v>0</v>
      </c>
      <c r="G62" s="523">
        <f t="shared" si="12"/>
        <v>0</v>
      </c>
      <c r="H62" s="477">
        <f t="shared" si="13"/>
        <v>0</v>
      </c>
      <c r="I62" s="500">
        <f t="shared" si="1"/>
        <v>0</v>
      </c>
      <c r="J62" s="500"/>
      <c r="K62" s="512"/>
      <c r="L62" s="504">
        <f t="shared" si="2"/>
        <v>0</v>
      </c>
      <c r="M62" s="512"/>
      <c r="N62" s="504">
        <f t="shared" si="3"/>
        <v>0</v>
      </c>
      <c r="O62" s="504">
        <f t="shared" si="4"/>
        <v>0</v>
      </c>
      <c r="P62" s="278"/>
    </row>
    <row r="63" spans="2:16">
      <c r="B63" s="145" t="str">
        <f t="shared" si="0"/>
        <v/>
      </c>
      <c r="C63" s="495">
        <f>IF(D11="","-",+C62+1)</f>
        <v>2063</v>
      </c>
      <c r="D63" s="508">
        <f>IF(F62+SUM(E$17:E62)=D$10,F62,D$10-SUM(E$17:E62))</f>
        <v>0</v>
      </c>
      <c r="E63" s="509">
        <f t="shared" si="14"/>
        <v>0</v>
      </c>
      <c r="F63" s="510">
        <f t="shared" si="11"/>
        <v>0</v>
      </c>
      <c r="G63" s="523">
        <f t="shared" si="12"/>
        <v>0</v>
      </c>
      <c r="H63" s="477">
        <f t="shared" si="13"/>
        <v>0</v>
      </c>
      <c r="I63" s="500">
        <f t="shared" si="1"/>
        <v>0</v>
      </c>
      <c r="J63" s="500"/>
      <c r="K63" s="512"/>
      <c r="L63" s="504">
        <f t="shared" si="2"/>
        <v>0</v>
      </c>
      <c r="M63" s="512"/>
      <c r="N63" s="504">
        <f t="shared" si="3"/>
        <v>0</v>
      </c>
      <c r="O63" s="504">
        <f t="shared" si="4"/>
        <v>0</v>
      </c>
      <c r="P63" s="278"/>
    </row>
    <row r="64" spans="2:16">
      <c r="B64" s="145" t="str">
        <f t="shared" si="0"/>
        <v/>
      </c>
      <c r="C64" s="495">
        <f>IF(D11="","-",+C63+1)</f>
        <v>2064</v>
      </c>
      <c r="D64" s="508">
        <f>IF(F63+SUM(E$17:E63)=D$10,F63,D$10-SUM(E$17:E63))</f>
        <v>0</v>
      </c>
      <c r="E64" s="509">
        <f t="shared" si="14"/>
        <v>0</v>
      </c>
      <c r="F64" s="510">
        <f t="shared" si="11"/>
        <v>0</v>
      </c>
      <c r="G64" s="523">
        <f t="shared" si="12"/>
        <v>0</v>
      </c>
      <c r="H64" s="477">
        <f t="shared" si="13"/>
        <v>0</v>
      </c>
      <c r="I64" s="500">
        <f t="shared" si="1"/>
        <v>0</v>
      </c>
      <c r="J64" s="500"/>
      <c r="K64" s="512"/>
      <c r="L64" s="504">
        <f t="shared" si="2"/>
        <v>0</v>
      </c>
      <c r="M64" s="512"/>
      <c r="N64" s="504">
        <f t="shared" si="3"/>
        <v>0</v>
      </c>
      <c r="O64" s="504">
        <f t="shared" si="4"/>
        <v>0</v>
      </c>
      <c r="P64" s="278"/>
    </row>
    <row r="65" spans="2:16">
      <c r="B65" s="145" t="str">
        <f t="shared" si="0"/>
        <v/>
      </c>
      <c r="C65" s="495">
        <f>IF(D11="","-",+C64+1)</f>
        <v>2065</v>
      </c>
      <c r="D65" s="508">
        <f>IF(F64+SUM(E$17:E64)=D$10,F64,D$10-SUM(E$17:E64))</f>
        <v>0</v>
      </c>
      <c r="E65" s="509">
        <f t="shared" si="14"/>
        <v>0</v>
      </c>
      <c r="F65" s="510">
        <f t="shared" si="11"/>
        <v>0</v>
      </c>
      <c r="G65" s="523">
        <f t="shared" si="12"/>
        <v>0</v>
      </c>
      <c r="H65" s="477">
        <f t="shared" si="13"/>
        <v>0</v>
      </c>
      <c r="I65" s="500">
        <f t="shared" si="1"/>
        <v>0</v>
      </c>
      <c r="J65" s="500"/>
      <c r="K65" s="512"/>
      <c r="L65" s="504">
        <f t="shared" si="2"/>
        <v>0</v>
      </c>
      <c r="M65" s="512"/>
      <c r="N65" s="504">
        <f t="shared" si="3"/>
        <v>0</v>
      </c>
      <c r="O65" s="504">
        <f t="shared" si="4"/>
        <v>0</v>
      </c>
      <c r="P65" s="278"/>
    </row>
    <row r="66" spans="2:16">
      <c r="B66" s="145" t="str">
        <f t="shared" si="0"/>
        <v/>
      </c>
      <c r="C66" s="495">
        <f>IF(D11="","-",+C65+1)</f>
        <v>2066</v>
      </c>
      <c r="D66" s="508">
        <f>IF(F65+SUM(E$17:E65)=D$10,F65,D$10-SUM(E$17:E65))</f>
        <v>0</v>
      </c>
      <c r="E66" s="509">
        <f t="shared" si="14"/>
        <v>0</v>
      </c>
      <c r="F66" s="510">
        <f t="shared" si="11"/>
        <v>0</v>
      </c>
      <c r="G66" s="523">
        <f t="shared" si="12"/>
        <v>0</v>
      </c>
      <c r="H66" s="477">
        <f t="shared" si="13"/>
        <v>0</v>
      </c>
      <c r="I66" s="500">
        <f t="shared" si="1"/>
        <v>0</v>
      </c>
      <c r="J66" s="500"/>
      <c r="K66" s="512"/>
      <c r="L66" s="504">
        <f t="shared" si="2"/>
        <v>0</v>
      </c>
      <c r="M66" s="512"/>
      <c r="N66" s="504">
        <f t="shared" si="3"/>
        <v>0</v>
      </c>
      <c r="O66" s="504">
        <f t="shared" si="4"/>
        <v>0</v>
      </c>
      <c r="P66" s="278"/>
    </row>
    <row r="67" spans="2:16">
      <c r="B67" s="145" t="str">
        <f t="shared" si="0"/>
        <v/>
      </c>
      <c r="C67" s="495">
        <f>IF(D11="","-",+C66+1)</f>
        <v>2067</v>
      </c>
      <c r="D67" s="508">
        <f>IF(F66+SUM(E$17:E66)=D$10,F66,D$10-SUM(E$17:E66))</f>
        <v>0</v>
      </c>
      <c r="E67" s="509">
        <f t="shared" si="14"/>
        <v>0</v>
      </c>
      <c r="F67" s="510">
        <f t="shared" si="11"/>
        <v>0</v>
      </c>
      <c r="G67" s="523">
        <f t="shared" si="12"/>
        <v>0</v>
      </c>
      <c r="H67" s="477">
        <f t="shared" si="13"/>
        <v>0</v>
      </c>
      <c r="I67" s="500">
        <f t="shared" si="1"/>
        <v>0</v>
      </c>
      <c r="J67" s="500"/>
      <c r="K67" s="512"/>
      <c r="L67" s="504">
        <f t="shared" si="2"/>
        <v>0</v>
      </c>
      <c r="M67" s="512"/>
      <c r="N67" s="504">
        <f t="shared" si="3"/>
        <v>0</v>
      </c>
      <c r="O67" s="504">
        <f t="shared" si="4"/>
        <v>0</v>
      </c>
      <c r="P67" s="278"/>
    </row>
    <row r="68" spans="2:16">
      <c r="B68" s="145" t="str">
        <f t="shared" si="0"/>
        <v/>
      </c>
      <c r="C68" s="495">
        <f>IF(D11="","-",+C67+1)</f>
        <v>2068</v>
      </c>
      <c r="D68" s="508">
        <f>IF(F67+SUM(E$17:E67)=D$10,F67,D$10-SUM(E$17:E67))</f>
        <v>0</v>
      </c>
      <c r="E68" s="509">
        <f t="shared" si="14"/>
        <v>0</v>
      </c>
      <c r="F68" s="510">
        <f t="shared" si="11"/>
        <v>0</v>
      </c>
      <c r="G68" s="523">
        <f t="shared" si="12"/>
        <v>0</v>
      </c>
      <c r="H68" s="477">
        <f t="shared" si="13"/>
        <v>0</v>
      </c>
      <c r="I68" s="500">
        <f t="shared" si="1"/>
        <v>0</v>
      </c>
      <c r="J68" s="500"/>
      <c r="K68" s="512"/>
      <c r="L68" s="504">
        <f t="shared" si="2"/>
        <v>0</v>
      </c>
      <c r="M68" s="512"/>
      <c r="N68" s="504">
        <f t="shared" si="3"/>
        <v>0</v>
      </c>
      <c r="O68" s="504">
        <f t="shared" si="4"/>
        <v>0</v>
      </c>
      <c r="P68" s="278"/>
    </row>
    <row r="69" spans="2:16">
      <c r="B69" s="145" t="str">
        <f t="shared" si="0"/>
        <v/>
      </c>
      <c r="C69" s="495">
        <f>IF(D11="","-",+C68+1)</f>
        <v>2069</v>
      </c>
      <c r="D69" s="508">
        <f>IF(F68+SUM(E$17:E68)=D$10,F68,D$10-SUM(E$17:E68))</f>
        <v>0</v>
      </c>
      <c r="E69" s="509">
        <f t="shared" si="14"/>
        <v>0</v>
      </c>
      <c r="F69" s="510">
        <f t="shared" si="11"/>
        <v>0</v>
      </c>
      <c r="G69" s="523">
        <f t="shared" si="12"/>
        <v>0</v>
      </c>
      <c r="H69" s="477">
        <f t="shared" si="13"/>
        <v>0</v>
      </c>
      <c r="I69" s="500">
        <f t="shared" si="1"/>
        <v>0</v>
      </c>
      <c r="J69" s="500"/>
      <c r="K69" s="512"/>
      <c r="L69" s="504">
        <f t="shared" si="2"/>
        <v>0</v>
      </c>
      <c r="M69" s="512"/>
      <c r="N69" s="504">
        <f t="shared" si="3"/>
        <v>0</v>
      </c>
      <c r="O69" s="504">
        <f t="shared" si="4"/>
        <v>0</v>
      </c>
      <c r="P69" s="278"/>
    </row>
    <row r="70" spans="2:16">
      <c r="B70" s="145" t="str">
        <f t="shared" si="0"/>
        <v/>
      </c>
      <c r="C70" s="495">
        <f>IF(D11="","-",+C69+1)</f>
        <v>2070</v>
      </c>
      <c r="D70" s="508">
        <f>IF(F69+SUM(E$17:E69)=D$10,F69,D$10-SUM(E$17:E69))</f>
        <v>0</v>
      </c>
      <c r="E70" s="509">
        <f t="shared" si="14"/>
        <v>0</v>
      </c>
      <c r="F70" s="510">
        <f t="shared" si="11"/>
        <v>0</v>
      </c>
      <c r="G70" s="523">
        <f t="shared" si="12"/>
        <v>0</v>
      </c>
      <c r="H70" s="477">
        <f t="shared" si="13"/>
        <v>0</v>
      </c>
      <c r="I70" s="500">
        <f t="shared" si="1"/>
        <v>0</v>
      </c>
      <c r="J70" s="500"/>
      <c r="K70" s="512"/>
      <c r="L70" s="504">
        <f t="shared" si="2"/>
        <v>0</v>
      </c>
      <c r="M70" s="512"/>
      <c r="N70" s="504">
        <f t="shared" si="3"/>
        <v>0</v>
      </c>
      <c r="O70" s="504">
        <f t="shared" si="4"/>
        <v>0</v>
      </c>
      <c r="P70" s="278"/>
    </row>
    <row r="71" spans="2:16">
      <c r="B71" s="145" t="str">
        <f t="shared" si="0"/>
        <v/>
      </c>
      <c r="C71" s="495">
        <f>IF(D11="","-",+C70+1)</f>
        <v>2071</v>
      </c>
      <c r="D71" s="508">
        <f>IF(F70+SUM(E$17:E70)=D$10,F70,D$10-SUM(E$17:E70))</f>
        <v>0</v>
      </c>
      <c r="E71" s="509">
        <f t="shared" si="14"/>
        <v>0</v>
      </c>
      <c r="F71" s="510">
        <f t="shared" si="11"/>
        <v>0</v>
      </c>
      <c r="G71" s="523">
        <f t="shared" si="12"/>
        <v>0</v>
      </c>
      <c r="H71" s="477">
        <f t="shared" si="13"/>
        <v>0</v>
      </c>
      <c r="I71" s="500">
        <f t="shared" si="1"/>
        <v>0</v>
      </c>
      <c r="J71" s="500"/>
      <c r="K71" s="512"/>
      <c r="L71" s="504">
        <f t="shared" si="2"/>
        <v>0</v>
      </c>
      <c r="M71" s="512"/>
      <c r="N71" s="504">
        <f t="shared" si="3"/>
        <v>0</v>
      </c>
      <c r="O71" s="504">
        <f t="shared" si="4"/>
        <v>0</v>
      </c>
      <c r="P71" s="278"/>
    </row>
    <row r="72" spans="2:16">
      <c r="C72" s="495">
        <f>IF(D12="","-",+C71+1)</f>
        <v>2072</v>
      </c>
      <c r="D72" s="508">
        <f>IF(F71+SUM(E$17:E71)=D$10,F71,D$10-SUM(E$17:E71))</f>
        <v>0</v>
      </c>
      <c r="E72" s="509">
        <f>IF(+I$14&lt;F71,I$14,D72)</f>
        <v>0</v>
      </c>
      <c r="F72" s="510">
        <f>+D72-E72</f>
        <v>0</v>
      </c>
      <c r="G72" s="523">
        <f>(D72+F72)/2*I$12+E72</f>
        <v>0</v>
      </c>
      <c r="H72" s="477">
        <f>+(D72+F72)/2*I$13+E72</f>
        <v>0</v>
      </c>
      <c r="I72" s="500">
        <f>H72-G72</f>
        <v>0</v>
      </c>
      <c r="J72" s="500"/>
      <c r="K72" s="512"/>
      <c r="L72" s="504">
        <f>IF(K72&lt;&gt;0,+G72-K72,0)</f>
        <v>0</v>
      </c>
      <c r="M72" s="512"/>
      <c r="N72" s="504">
        <f>IF(M72&lt;&gt;0,+H72-M72,0)</f>
        <v>0</v>
      </c>
      <c r="O72" s="504">
        <f>+N72-L72</f>
        <v>0</v>
      </c>
      <c r="P72" s="278"/>
    </row>
    <row r="73" spans="2:16" ht="13.5" thickBot="1">
      <c r="B73" s="145" t="str">
        <f>IF(D73=F71,"","IU")</f>
        <v/>
      </c>
      <c r="C73" s="524">
        <f>IF(D13="","-",+C72+1)</f>
        <v>2073</v>
      </c>
      <c r="D73" s="508">
        <f>IF(F72+SUM(E$17:E72)=D$10,F72,D$10-SUM(E$17:E72))</f>
        <v>0</v>
      </c>
      <c r="E73" s="526">
        <f>IF(+I$14&lt;F72,I$14,D73)</f>
        <v>0</v>
      </c>
      <c r="F73" s="527">
        <f>+D73-E73</f>
        <v>0</v>
      </c>
      <c r="G73" s="528">
        <f>(D73+F73)/2*I$12+E73</f>
        <v>0</v>
      </c>
      <c r="H73" s="458">
        <f>+(D73+F73)/2*I$13+E73</f>
        <v>0</v>
      </c>
      <c r="I73" s="529">
        <f>H73-G73</f>
        <v>0</v>
      </c>
      <c r="J73" s="500"/>
      <c r="K73" s="530"/>
      <c r="L73" s="531">
        <f>IF(K73&lt;&gt;0,+G73-K73,0)</f>
        <v>0</v>
      </c>
      <c r="M73" s="530"/>
      <c r="N73" s="531">
        <f>IF(M73&lt;&gt;0,+H73-M73,0)</f>
        <v>0</v>
      </c>
      <c r="O73" s="531">
        <f>+N73-L73</f>
        <v>0</v>
      </c>
      <c r="P73" s="278"/>
    </row>
    <row r="74" spans="2:16">
      <c r="C74" s="349" t="s">
        <v>75</v>
      </c>
      <c r="D74" s="294"/>
      <c r="E74" s="294">
        <f>SUM(E17:E73)</f>
        <v>87679478.999999985</v>
      </c>
      <c r="F74" s="294"/>
      <c r="G74" s="294">
        <f>SUM(G17:G73)</f>
        <v>256759310.15039742</v>
      </c>
      <c r="H74" s="294">
        <f>SUM(H17:H73)</f>
        <v>256759310.15039742</v>
      </c>
      <c r="I74" s="294">
        <f>SUM(I17:I73)</f>
        <v>0</v>
      </c>
      <c r="J74" s="294"/>
      <c r="K74" s="294"/>
      <c r="L74" s="294"/>
      <c r="M74" s="294"/>
      <c r="N74" s="294"/>
      <c r="O74" s="278"/>
      <c r="P74" s="278"/>
    </row>
    <row r="75" spans="2:16">
      <c r="D75" s="292"/>
      <c r="E75" s="243"/>
      <c r="F75" s="243"/>
      <c r="G75" s="243"/>
      <c r="H75" s="325"/>
      <c r="I75" s="325"/>
      <c r="J75" s="294"/>
      <c r="K75" s="325"/>
      <c r="L75" s="325"/>
      <c r="M75" s="325"/>
      <c r="N75" s="325"/>
      <c r="O75" s="243"/>
      <c r="P75" s="243"/>
    </row>
    <row r="76" spans="2:16">
      <c r="C76" s="532" t="s">
        <v>95</v>
      </c>
      <c r="D76" s="292"/>
      <c r="E76" s="243"/>
      <c r="F76" s="243"/>
      <c r="G76" s="243"/>
      <c r="H76" s="325"/>
      <c r="I76" s="325"/>
      <c r="J76" s="294"/>
      <c r="K76" s="325"/>
      <c r="L76" s="325"/>
      <c r="M76" s="325"/>
      <c r="N76" s="325"/>
      <c r="O76" s="243"/>
      <c r="P76" s="243"/>
    </row>
    <row r="77" spans="2:16">
      <c r="C77" s="454" t="s">
        <v>76</v>
      </c>
      <c r="D77" s="292"/>
      <c r="E77" s="243"/>
      <c r="F77" s="243"/>
      <c r="G77" s="243"/>
      <c r="H77" s="325"/>
      <c r="I77" s="325"/>
      <c r="J77" s="294"/>
      <c r="K77" s="325"/>
      <c r="L77" s="325"/>
      <c r="M77" s="325"/>
      <c r="N77" s="325"/>
      <c r="O77" s="278"/>
      <c r="P77" s="278"/>
    </row>
    <row r="78" spans="2:16">
      <c r="C78" s="454" t="s">
        <v>77</v>
      </c>
      <c r="D78" s="349"/>
      <c r="E78" s="349"/>
      <c r="F78" s="349"/>
      <c r="G78" s="294"/>
      <c r="H78" s="294"/>
      <c r="I78" s="350"/>
      <c r="J78" s="350"/>
      <c r="K78" s="350"/>
      <c r="L78" s="350"/>
      <c r="M78" s="350"/>
      <c r="N78" s="350"/>
      <c r="O78" s="278"/>
      <c r="P78" s="278"/>
    </row>
    <row r="79" spans="2:16">
      <c r="C79" s="454"/>
      <c r="D79" s="349"/>
      <c r="E79" s="349"/>
      <c r="F79" s="349"/>
      <c r="G79" s="294"/>
      <c r="H79" s="294"/>
      <c r="I79" s="350"/>
      <c r="J79" s="350"/>
      <c r="K79" s="350"/>
      <c r="L79" s="350"/>
      <c r="M79" s="350"/>
      <c r="N79" s="350"/>
      <c r="O79" s="278"/>
      <c r="P79" s="243"/>
    </row>
    <row r="80" spans="2:16">
      <c r="B80" s="243"/>
      <c r="C80" s="248"/>
      <c r="D80" s="292"/>
      <c r="E80" s="243"/>
      <c r="F80" s="347"/>
      <c r="G80" s="243"/>
      <c r="H80" s="325"/>
      <c r="I80" s="243"/>
      <c r="J80" s="278"/>
      <c r="K80" s="243"/>
      <c r="L80" s="243"/>
      <c r="M80" s="243"/>
      <c r="N80" s="243"/>
      <c r="O80" s="243"/>
      <c r="P80" s="243"/>
    </row>
    <row r="81" spans="1:16" ht="18">
      <c r="B81" s="243"/>
      <c r="C81" s="535"/>
      <c r="D81" s="292"/>
      <c r="E81" s="243"/>
      <c r="F81" s="347"/>
      <c r="G81" s="243"/>
      <c r="H81" s="325"/>
      <c r="I81" s="243"/>
      <c r="J81" s="278"/>
      <c r="K81" s="243"/>
      <c r="L81" s="243"/>
      <c r="M81" s="243"/>
      <c r="N81" s="243"/>
      <c r="P81" s="536" t="s">
        <v>128</v>
      </c>
    </row>
    <row r="82" spans="1:16">
      <c r="B82" s="243"/>
      <c r="C82" s="248"/>
      <c r="D82" s="292"/>
      <c r="E82" s="243"/>
      <c r="F82" s="347"/>
      <c r="G82" s="243"/>
      <c r="H82" s="325"/>
      <c r="I82" s="243"/>
      <c r="J82" s="278"/>
      <c r="K82" s="243"/>
      <c r="L82" s="243"/>
      <c r="M82" s="243"/>
      <c r="N82" s="243"/>
      <c r="O82" s="243"/>
      <c r="P82" s="243"/>
    </row>
    <row r="83" spans="1:16">
      <c r="B83" s="243"/>
      <c r="C83" s="248"/>
      <c r="D83" s="292"/>
      <c r="E83" s="243"/>
      <c r="F83" s="347"/>
      <c r="G83" s="243"/>
      <c r="H83" s="325"/>
      <c r="I83" s="243"/>
      <c r="J83" s="278"/>
      <c r="K83" s="243"/>
      <c r="L83" s="243"/>
      <c r="M83" s="243"/>
      <c r="N83" s="243"/>
      <c r="O83" s="243"/>
      <c r="P83" s="243"/>
    </row>
    <row r="84" spans="1:16" ht="20.25">
      <c r="A84" s="437" t="s">
        <v>190</v>
      </c>
      <c r="B84" s="243"/>
      <c r="C84" s="248"/>
      <c r="D84" s="292"/>
      <c r="E84" s="243"/>
      <c r="F84" s="339"/>
      <c r="G84" s="339"/>
      <c r="H84" s="243"/>
      <c r="I84" s="325"/>
      <c r="K84" s="220"/>
      <c r="L84" s="438"/>
      <c r="M84" s="438"/>
      <c r="P84" s="438" t="str">
        <f ca="1">P1</f>
        <v>OKT Project 17 of 23</v>
      </c>
    </row>
    <row r="85" spans="1:16" ht="18">
      <c r="B85" s="243"/>
      <c r="C85" s="243"/>
      <c r="D85" s="292"/>
      <c r="E85" s="243"/>
      <c r="F85" s="243"/>
      <c r="G85" s="243"/>
      <c r="H85" s="243"/>
      <c r="I85" s="325"/>
      <c r="J85" s="243"/>
      <c r="K85" s="278"/>
      <c r="L85" s="243"/>
      <c r="M85" s="243"/>
      <c r="P85" s="441" t="s">
        <v>132</v>
      </c>
    </row>
    <row r="86" spans="1:16" ht="18.75" thickBot="1">
      <c r="B86" s="233" t="s">
        <v>42</v>
      </c>
      <c r="C86" s="537" t="s">
        <v>81</v>
      </c>
      <c r="D86" s="292"/>
      <c r="E86" s="243"/>
      <c r="F86" s="243"/>
      <c r="G86" s="243"/>
      <c r="H86" s="243"/>
      <c r="I86" s="325"/>
      <c r="J86" s="325"/>
      <c r="K86" s="294"/>
      <c r="L86" s="325"/>
      <c r="M86" s="325"/>
      <c r="N86" s="325"/>
      <c r="O86" s="294"/>
      <c r="P86" s="243"/>
    </row>
    <row r="87" spans="1:16" ht="15.75" thickBot="1">
      <c r="C87" s="304"/>
      <c r="D87" s="292"/>
      <c r="E87" s="243"/>
      <c r="F87" s="243"/>
      <c r="G87" s="243"/>
      <c r="H87" s="243"/>
      <c r="I87" s="325"/>
      <c r="J87" s="325"/>
      <c r="K87" s="294"/>
      <c r="L87" s="538">
        <f>+J93</f>
        <v>2020</v>
      </c>
      <c r="M87" s="539" t="s">
        <v>9</v>
      </c>
      <c r="N87" s="540" t="s">
        <v>134</v>
      </c>
      <c r="O87" s="541" t="s">
        <v>11</v>
      </c>
      <c r="P87" s="243"/>
    </row>
    <row r="88" spans="1:16" ht="15">
      <c r="C88" s="232" t="s">
        <v>44</v>
      </c>
      <c r="D88" s="292"/>
      <c r="E88" s="243"/>
      <c r="F88" s="243"/>
      <c r="G88" s="243"/>
      <c r="H88" s="444"/>
      <c r="I88" s="243" t="s">
        <v>45</v>
      </c>
      <c r="J88" s="243"/>
      <c r="K88" s="542"/>
      <c r="L88" s="543" t="s">
        <v>253</v>
      </c>
      <c r="M88" s="544">
        <f>IF(J93&lt;D11,0,VLOOKUP(J93,C17:O73,9))</f>
        <v>11283505.602105767</v>
      </c>
      <c r="N88" s="544">
        <f>IF(J93&lt;D11,0,VLOOKUP(J93,C17:O73,11))</f>
        <v>11283505.602105767</v>
      </c>
      <c r="O88" s="545">
        <f>+N88-M88</f>
        <v>0</v>
      </c>
      <c r="P88" s="243"/>
    </row>
    <row r="89" spans="1:16" ht="15.75">
      <c r="C89" s="235"/>
      <c r="D89" s="292"/>
      <c r="E89" s="243"/>
      <c r="F89" s="243"/>
      <c r="G89" s="243"/>
      <c r="H89" s="243"/>
      <c r="I89" s="449"/>
      <c r="J89" s="449"/>
      <c r="K89" s="546"/>
      <c r="L89" s="547" t="s">
        <v>254</v>
      </c>
      <c r="M89" s="548">
        <f>IF(J93&lt;D11,0,VLOOKUP(J93,C100:P155,6))</f>
        <v>11774841.711765051</v>
      </c>
      <c r="N89" s="548">
        <f>IF(J93&lt;D11,0,VLOOKUP(J93,C100:P155,7))</f>
        <v>11774841.711765051</v>
      </c>
      <c r="O89" s="549">
        <f>+N89-M89</f>
        <v>0</v>
      </c>
      <c r="P89" s="243"/>
    </row>
    <row r="90" spans="1:16" ht="13.5" thickBot="1">
      <c r="C90" s="454" t="s">
        <v>82</v>
      </c>
      <c r="D90" s="550" t="str">
        <f>+D7</f>
        <v>Chisholm - Gracemont 345 kv line and station</v>
      </c>
      <c r="E90" s="243"/>
      <c r="F90" s="243"/>
      <c r="G90" s="243"/>
      <c r="H90" s="243"/>
      <c r="I90" s="325"/>
      <c r="J90" s="325"/>
      <c r="K90" s="551"/>
      <c r="L90" s="552" t="s">
        <v>135</v>
      </c>
      <c r="M90" s="553">
        <f>+M89-M88</f>
        <v>491336.10965928435</v>
      </c>
      <c r="N90" s="553">
        <f>+N89-N88</f>
        <v>491336.10965928435</v>
      </c>
      <c r="O90" s="554">
        <f>+O89-O88</f>
        <v>0</v>
      </c>
      <c r="P90" s="243"/>
    </row>
    <row r="91" spans="1:16" ht="13.5" thickBot="1">
      <c r="C91" s="532"/>
      <c r="D91" s="555" t="str">
        <f>IF(D8="","",D8)</f>
        <v/>
      </c>
      <c r="E91" s="347"/>
      <c r="F91" s="347"/>
      <c r="G91" s="347"/>
      <c r="H91" s="461"/>
      <c r="I91" s="325"/>
      <c r="J91" s="325"/>
      <c r="K91" s="294"/>
      <c r="L91" s="325"/>
      <c r="M91" s="325"/>
      <c r="N91" s="325"/>
      <c r="O91" s="294"/>
      <c r="P91" s="243"/>
    </row>
    <row r="92" spans="1:16" ht="13.5" thickBot="1">
      <c r="A92" s="152"/>
      <c r="C92" s="556" t="s">
        <v>83</v>
      </c>
      <c r="D92" s="557" t="str">
        <f>+D9</f>
        <v>TP 2011150</v>
      </c>
      <c r="E92" s="558"/>
      <c r="F92" s="558"/>
      <c r="G92" s="558"/>
      <c r="H92" s="558"/>
      <c r="I92" s="558"/>
      <c r="J92" s="558"/>
      <c r="K92" s="560"/>
      <c r="P92" s="468"/>
    </row>
    <row r="93" spans="1:16">
      <c r="C93" s="472" t="s">
        <v>49</v>
      </c>
      <c r="D93" s="470">
        <v>87672233</v>
      </c>
      <c r="E93" s="248" t="s">
        <v>84</v>
      </c>
      <c r="H93" s="408"/>
      <c r="I93" s="408"/>
      <c r="J93" s="471">
        <f>+'OKT.WS.G.BPU.ATRR.True-up'!M16</f>
        <v>2020</v>
      </c>
      <c r="K93" s="467"/>
      <c r="L93" s="294" t="s">
        <v>85</v>
      </c>
      <c r="P93" s="278"/>
    </row>
    <row r="94" spans="1:16">
      <c r="C94" s="472" t="s">
        <v>52</v>
      </c>
      <c r="D94" s="473">
        <f>IF(D11=I10,"",D11)</f>
        <v>2017</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row>
    <row r="95" spans="1:16">
      <c r="C95" s="472" t="s">
        <v>54</v>
      </c>
      <c r="D95" s="470">
        <f>IF(D11=I10,"",D12)</f>
        <v>12</v>
      </c>
      <c r="E95" s="472" t="s">
        <v>55</v>
      </c>
      <c r="F95" s="408"/>
      <c r="G95" s="408"/>
      <c r="J95" s="476">
        <f>'OKT.WS.G.BPU.ATRR.True-up'!$F$81</f>
        <v>0.11475877389767174</v>
      </c>
      <c r="K95" s="413"/>
      <c r="L95" s="145" t="s">
        <v>86</v>
      </c>
      <c r="P95" s="278"/>
    </row>
    <row r="96" spans="1:16">
      <c r="C96" s="472" t="s">
        <v>57</v>
      </c>
      <c r="D96" s="474">
        <f>'OKT.WS.G.BPU.ATRR.True-up'!F$93</f>
        <v>21</v>
      </c>
      <c r="E96" s="472" t="s">
        <v>58</v>
      </c>
      <c r="F96" s="408"/>
      <c r="G96" s="408"/>
      <c r="J96" s="476">
        <f>IF(H88="",J95,'OKT.WS.G.BPU.ATRR.True-up'!$F$80)</f>
        <v>0.11475877389767174</v>
      </c>
      <c r="K96" s="291"/>
      <c r="L96" s="294" t="s">
        <v>59</v>
      </c>
      <c r="M96" s="291"/>
      <c r="N96" s="291"/>
      <c r="O96" s="291"/>
      <c r="P96" s="278"/>
    </row>
    <row r="97" spans="1:16" ht="13.5" thickBot="1">
      <c r="C97" s="472" t="s">
        <v>60</v>
      </c>
      <c r="D97" s="640" t="str">
        <f>+D14</f>
        <v>No</v>
      </c>
      <c r="E97" s="563" t="s">
        <v>62</v>
      </c>
      <c r="F97" s="564"/>
      <c r="G97" s="564"/>
      <c r="H97" s="565"/>
      <c r="I97" s="565"/>
      <c r="J97" s="458">
        <f>IF(D93=0,0,D93/D96)</f>
        <v>4174868.2380952379</v>
      </c>
      <c r="K97" s="294"/>
      <c r="L97" s="294"/>
      <c r="M97" s="294"/>
      <c r="N97" s="294"/>
      <c r="O97" s="294"/>
      <c r="P97" s="278"/>
    </row>
    <row r="98" spans="1:16"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row>
    <row r="99" spans="1:16"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row>
    <row r="100" spans="1:16">
      <c r="B100" s="145" t="str">
        <f t="shared" ref="B100:B155" si="15">IF(D100=F99,"","IU")</f>
        <v>IU</v>
      </c>
      <c r="C100" s="495">
        <f>IF(D94= "","-",D94)</f>
        <v>2017</v>
      </c>
      <c r="D100" s="496">
        <v>0</v>
      </c>
      <c r="E100" s="498">
        <v>0</v>
      </c>
      <c r="F100" s="505">
        <v>87396515</v>
      </c>
      <c r="G100" s="505">
        <v>43698257.5</v>
      </c>
      <c r="H100" s="498">
        <v>5127372.8083007364</v>
      </c>
      <c r="I100" s="499">
        <v>5127372.8083007364</v>
      </c>
      <c r="J100" s="504">
        <f t="shared" ref="J100:J131" si="16">+I100-H100</f>
        <v>0</v>
      </c>
      <c r="K100" s="504"/>
      <c r="L100" s="506">
        <f>+H100</f>
        <v>5127372.8083007364</v>
      </c>
      <c r="M100" s="504">
        <f t="shared" ref="M100:M131" si="17">IF(L100&lt;&gt;0,+H100-L100,0)</f>
        <v>0</v>
      </c>
      <c r="N100" s="506">
        <f>+I100</f>
        <v>5127372.8083007364</v>
      </c>
      <c r="O100" s="586">
        <f t="shared" ref="O100:O131" si="18">IF(N100&lt;&gt;0,+I100-N100,0)</f>
        <v>0</v>
      </c>
      <c r="P100" s="504">
        <f t="shared" ref="P100:P131" si="19">+O100-M100</f>
        <v>0</v>
      </c>
    </row>
    <row r="101" spans="1:16">
      <c r="B101" s="145" t="str">
        <f t="shared" si="15"/>
        <v/>
      </c>
      <c r="C101" s="495">
        <f>IF(D94="","-",+C100+1)</f>
        <v>2018</v>
      </c>
      <c r="D101" s="496">
        <v>87396515</v>
      </c>
      <c r="E101" s="498">
        <v>2427680.972222222</v>
      </c>
      <c r="F101" s="505">
        <v>84968834.027777776</v>
      </c>
      <c r="G101" s="505">
        <v>86182674.513888896</v>
      </c>
      <c r="H101" s="498">
        <v>11525335.163817437</v>
      </c>
      <c r="I101" s="499">
        <v>11525335.163817437</v>
      </c>
      <c r="J101" s="504">
        <f t="shared" si="16"/>
        <v>0</v>
      </c>
      <c r="K101" s="504"/>
      <c r="L101" s="506">
        <f>H101</f>
        <v>11525335.163817437</v>
      </c>
      <c r="M101" s="504">
        <f>IF(L101&lt;&gt;0,+H101-L101,0)</f>
        <v>0</v>
      </c>
      <c r="N101" s="506">
        <f>I101</f>
        <v>11525335.163817437</v>
      </c>
      <c r="O101" s="504">
        <f>IF(N101&lt;&gt;0,+I101-N101,0)</f>
        <v>0</v>
      </c>
      <c r="P101" s="504">
        <f>+O101-M101</f>
        <v>0</v>
      </c>
    </row>
    <row r="102" spans="1:16">
      <c r="B102" s="145" t="str">
        <f t="shared" si="15"/>
        <v>IU</v>
      </c>
      <c r="C102" s="495">
        <f>IF(D94="","-",+C101+1)</f>
        <v>2019</v>
      </c>
      <c r="D102" s="496">
        <v>85829515.027777776</v>
      </c>
      <c r="E102" s="498">
        <v>2451588.777777778</v>
      </c>
      <c r="F102" s="505">
        <v>83377926.25</v>
      </c>
      <c r="G102" s="505">
        <v>84603720.638888896</v>
      </c>
      <c r="H102" s="498">
        <v>11382564.731313506</v>
      </c>
      <c r="I102" s="499">
        <v>11382564.731313506</v>
      </c>
      <c r="J102" s="504">
        <f t="shared" si="16"/>
        <v>0</v>
      </c>
      <c r="K102" s="504"/>
      <c r="L102" s="506">
        <f>H102</f>
        <v>11382564.731313506</v>
      </c>
      <c r="M102" s="504">
        <f>IF(L102&lt;&gt;0,+H102-L102,0)</f>
        <v>0</v>
      </c>
      <c r="N102" s="506">
        <f>I102</f>
        <v>11382564.731313506</v>
      </c>
      <c r="O102" s="504">
        <f t="shared" si="18"/>
        <v>0</v>
      </c>
      <c r="P102" s="504">
        <f t="shared" si="19"/>
        <v>0</v>
      </c>
    </row>
    <row r="103" spans="1:16">
      <c r="B103" s="145" t="str">
        <f t="shared" si="15"/>
        <v>IU</v>
      </c>
      <c r="C103" s="495">
        <f>IF(D94="","-",+C102+1)</f>
        <v>2020</v>
      </c>
      <c r="D103" s="496">
        <v>82792963.25</v>
      </c>
      <c r="E103" s="498">
        <v>3131151.1785714286</v>
      </c>
      <c r="F103" s="505">
        <v>79661812.071428567</v>
      </c>
      <c r="G103" s="505">
        <v>81227387.660714284</v>
      </c>
      <c r="H103" s="498">
        <v>11774841.711765051</v>
      </c>
      <c r="I103" s="499">
        <v>11774841.711765051</v>
      </c>
      <c r="J103" s="504">
        <f t="shared" si="16"/>
        <v>0</v>
      </c>
      <c r="K103" s="504"/>
      <c r="L103" s="506">
        <f>H103</f>
        <v>11774841.711765051</v>
      </c>
      <c r="M103" s="504">
        <f>IF(L103&lt;&gt;0,+H103-L103,0)</f>
        <v>0</v>
      </c>
      <c r="N103" s="506">
        <f>I103</f>
        <v>11774841.711765051</v>
      </c>
      <c r="O103" s="504">
        <f t="shared" si="18"/>
        <v>0</v>
      </c>
      <c r="P103" s="504">
        <f t="shared" si="19"/>
        <v>0</v>
      </c>
    </row>
    <row r="104" spans="1:16">
      <c r="B104" s="145" t="str">
        <f t="shared" si="15"/>
        <v/>
      </c>
      <c r="C104" s="495">
        <f>IF(D94="","-",+C103+1)</f>
        <v>2021</v>
      </c>
      <c r="D104" s="349">
        <f>IF(F103+SUM(E$100:E103)=D$93,F103,D$93-SUM(E$100:E103))</f>
        <v>79661812.071428567</v>
      </c>
      <c r="E104" s="509">
        <f t="shared" ref="E104:E132" si="20">IF(+J$97&lt;F103,J$97,D104)</f>
        <v>4174868.2380952379</v>
      </c>
      <c r="F104" s="510">
        <f t="shared" ref="F104:F131" si="21">+D104-E104</f>
        <v>75486943.833333328</v>
      </c>
      <c r="G104" s="510">
        <f t="shared" ref="G104:G131" si="22">+(F104+D104)/2</f>
        <v>77574377.952380955</v>
      </c>
      <c r="H104" s="627">
        <f t="shared" ref="H104:H155" si="23">+J$95*G104+E104</f>
        <v>13077208.737785056</v>
      </c>
      <c r="I104" s="628">
        <f t="shared" ref="I104:I155" si="24">+J$96*G104+E104</f>
        <v>13077208.737785056</v>
      </c>
      <c r="J104" s="504">
        <f t="shared" si="16"/>
        <v>0</v>
      </c>
      <c r="K104" s="504"/>
      <c r="L104" s="512"/>
      <c r="M104" s="504">
        <f t="shared" si="17"/>
        <v>0</v>
      </c>
      <c r="N104" s="512"/>
      <c r="O104" s="504">
        <f t="shared" si="18"/>
        <v>0</v>
      </c>
      <c r="P104" s="504">
        <f t="shared" si="19"/>
        <v>0</v>
      </c>
    </row>
    <row r="105" spans="1:16">
      <c r="B105" s="145" t="str">
        <f t="shared" si="15"/>
        <v/>
      </c>
      <c r="C105" s="495">
        <f>IF(D94="","-",+C104+1)</f>
        <v>2022</v>
      </c>
      <c r="D105" s="349">
        <f>IF(F104+SUM(E$100:E104)=D$93,F104,D$93-SUM(E$100:E104))</f>
        <v>75486943.833333328</v>
      </c>
      <c r="E105" s="509">
        <f t="shared" si="20"/>
        <v>4174868.2380952379</v>
      </c>
      <c r="F105" s="510">
        <f t="shared" si="21"/>
        <v>71312075.59523809</v>
      </c>
      <c r="G105" s="510">
        <f t="shared" si="22"/>
        <v>73399509.714285702</v>
      </c>
      <c r="H105" s="627">
        <f t="shared" si="23"/>
        <v>12598105.977596913</v>
      </c>
      <c r="I105" s="628">
        <f t="shared" si="24"/>
        <v>12598105.977596913</v>
      </c>
      <c r="J105" s="504">
        <f t="shared" si="16"/>
        <v>0</v>
      </c>
      <c r="K105" s="504"/>
      <c r="L105" s="512"/>
      <c r="M105" s="504">
        <f t="shared" si="17"/>
        <v>0</v>
      </c>
      <c r="N105" s="512"/>
      <c r="O105" s="504">
        <f t="shared" si="18"/>
        <v>0</v>
      </c>
      <c r="P105" s="504">
        <f t="shared" si="19"/>
        <v>0</v>
      </c>
    </row>
    <row r="106" spans="1:16">
      <c r="B106" s="145" t="str">
        <f t="shared" si="15"/>
        <v/>
      </c>
      <c r="C106" s="495">
        <f>IF(D94="","-",+C105+1)</f>
        <v>2023</v>
      </c>
      <c r="D106" s="349">
        <f>IF(F105+SUM(E$100:E105)=D$93,F105,D$93-SUM(E$100:E105))</f>
        <v>71312075.59523809</v>
      </c>
      <c r="E106" s="509">
        <f t="shared" si="20"/>
        <v>4174868.2380952379</v>
      </c>
      <c r="F106" s="510">
        <f t="shared" si="21"/>
        <v>67137207.357142851</v>
      </c>
      <c r="G106" s="510">
        <f t="shared" si="22"/>
        <v>69224641.476190478</v>
      </c>
      <c r="H106" s="627">
        <f t="shared" si="23"/>
        <v>12119003.217408769</v>
      </c>
      <c r="I106" s="628">
        <f t="shared" si="24"/>
        <v>12119003.217408769</v>
      </c>
      <c r="J106" s="504">
        <f t="shared" si="16"/>
        <v>0</v>
      </c>
      <c r="K106" s="504"/>
      <c r="L106" s="512"/>
      <c r="M106" s="504">
        <f t="shared" si="17"/>
        <v>0</v>
      </c>
      <c r="N106" s="512"/>
      <c r="O106" s="504">
        <f t="shared" si="18"/>
        <v>0</v>
      </c>
      <c r="P106" s="504">
        <f t="shared" si="19"/>
        <v>0</v>
      </c>
    </row>
    <row r="107" spans="1:16">
      <c r="B107" s="145" t="str">
        <f t="shared" si="15"/>
        <v/>
      </c>
      <c r="C107" s="495">
        <f>IF(D94="","-",+C106+1)</f>
        <v>2024</v>
      </c>
      <c r="D107" s="349">
        <f>IF(F106+SUM(E$100:E106)=D$93,F106,D$93-SUM(E$100:E106))</f>
        <v>67137207.357142851</v>
      </c>
      <c r="E107" s="509">
        <f t="shared" si="20"/>
        <v>4174868.2380952379</v>
      </c>
      <c r="F107" s="510">
        <f t="shared" si="21"/>
        <v>62962339.119047612</v>
      </c>
      <c r="G107" s="510">
        <f t="shared" si="22"/>
        <v>65049773.238095231</v>
      </c>
      <c r="H107" s="627">
        <f t="shared" si="23"/>
        <v>11639900.457220625</v>
      </c>
      <c r="I107" s="628">
        <f t="shared" si="24"/>
        <v>11639900.457220625</v>
      </c>
      <c r="J107" s="504">
        <f t="shared" si="16"/>
        <v>0</v>
      </c>
      <c r="K107" s="504"/>
      <c r="L107" s="512"/>
      <c r="M107" s="504">
        <f t="shared" si="17"/>
        <v>0</v>
      </c>
      <c r="N107" s="512"/>
      <c r="O107" s="504">
        <f t="shared" si="18"/>
        <v>0</v>
      </c>
      <c r="P107" s="504">
        <f t="shared" si="19"/>
        <v>0</v>
      </c>
    </row>
    <row r="108" spans="1:16">
      <c r="B108" s="145" t="str">
        <f t="shared" si="15"/>
        <v/>
      </c>
      <c r="C108" s="495">
        <f>IF(D94="","-",+C107+1)</f>
        <v>2025</v>
      </c>
      <c r="D108" s="349">
        <f>IF(F107+SUM(E$100:E107)=D$93,F107,D$93-SUM(E$100:E107))</f>
        <v>62962339.119047612</v>
      </c>
      <c r="E108" s="509">
        <f t="shared" si="20"/>
        <v>4174868.2380952379</v>
      </c>
      <c r="F108" s="510">
        <f t="shared" si="21"/>
        <v>58787470.880952373</v>
      </c>
      <c r="G108" s="510">
        <f t="shared" si="22"/>
        <v>60874904.999999993</v>
      </c>
      <c r="H108" s="627">
        <f t="shared" si="23"/>
        <v>11160797.697032483</v>
      </c>
      <c r="I108" s="628">
        <f t="shared" si="24"/>
        <v>11160797.697032483</v>
      </c>
      <c r="J108" s="504">
        <f t="shared" si="16"/>
        <v>0</v>
      </c>
      <c r="K108" s="504"/>
      <c r="L108" s="512"/>
      <c r="M108" s="504">
        <f t="shared" si="17"/>
        <v>0</v>
      </c>
      <c r="N108" s="512"/>
      <c r="O108" s="504">
        <f t="shared" si="18"/>
        <v>0</v>
      </c>
      <c r="P108" s="504">
        <f t="shared" si="19"/>
        <v>0</v>
      </c>
    </row>
    <row r="109" spans="1:16">
      <c r="B109" s="145" t="str">
        <f t="shared" si="15"/>
        <v/>
      </c>
      <c r="C109" s="495">
        <f>IF(D94="","-",+C108+1)</f>
        <v>2026</v>
      </c>
      <c r="D109" s="349">
        <f>IF(F108+SUM(E$100:E108)=D$93,F108,D$93-SUM(E$100:E108))</f>
        <v>58787470.880952373</v>
      </c>
      <c r="E109" s="509">
        <f t="shared" si="20"/>
        <v>4174868.2380952379</v>
      </c>
      <c r="F109" s="510">
        <f t="shared" si="21"/>
        <v>54612602.642857134</v>
      </c>
      <c r="G109" s="510">
        <f t="shared" si="22"/>
        <v>56700036.761904754</v>
      </c>
      <c r="H109" s="627">
        <f t="shared" si="23"/>
        <v>10681694.936844341</v>
      </c>
      <c r="I109" s="628">
        <f t="shared" si="24"/>
        <v>10681694.936844341</v>
      </c>
      <c r="J109" s="504">
        <f t="shared" si="16"/>
        <v>0</v>
      </c>
      <c r="K109" s="504"/>
      <c r="L109" s="512"/>
      <c r="M109" s="504">
        <f t="shared" si="17"/>
        <v>0</v>
      </c>
      <c r="N109" s="512"/>
      <c r="O109" s="504">
        <f t="shared" si="18"/>
        <v>0</v>
      </c>
      <c r="P109" s="504">
        <f t="shared" si="19"/>
        <v>0</v>
      </c>
    </row>
    <row r="110" spans="1:16">
      <c r="B110" s="145" t="str">
        <f t="shared" si="15"/>
        <v/>
      </c>
      <c r="C110" s="495">
        <f>IF(D94="","-",+C109+1)</f>
        <v>2027</v>
      </c>
      <c r="D110" s="349">
        <f>IF(F109+SUM(E$100:E109)=D$93,F109,D$93-SUM(E$100:E109))</f>
        <v>54612602.642857134</v>
      </c>
      <c r="E110" s="509">
        <f t="shared" si="20"/>
        <v>4174868.2380952379</v>
      </c>
      <c r="F110" s="510">
        <f t="shared" si="21"/>
        <v>50437734.404761896</v>
      </c>
      <c r="G110" s="510">
        <f t="shared" si="22"/>
        <v>52525168.523809515</v>
      </c>
      <c r="H110" s="627">
        <f t="shared" si="23"/>
        <v>10202592.176656198</v>
      </c>
      <c r="I110" s="628">
        <f t="shared" si="24"/>
        <v>10202592.176656198</v>
      </c>
      <c r="J110" s="504">
        <f t="shared" si="16"/>
        <v>0</v>
      </c>
      <c r="K110" s="504"/>
      <c r="L110" s="512"/>
      <c r="M110" s="504">
        <f t="shared" si="17"/>
        <v>0</v>
      </c>
      <c r="N110" s="512"/>
      <c r="O110" s="504">
        <f t="shared" si="18"/>
        <v>0</v>
      </c>
      <c r="P110" s="504">
        <f t="shared" si="19"/>
        <v>0</v>
      </c>
    </row>
    <row r="111" spans="1:16">
      <c r="B111" s="145" t="str">
        <f t="shared" si="15"/>
        <v/>
      </c>
      <c r="C111" s="495">
        <f>IF(D94="","-",+C110+1)</f>
        <v>2028</v>
      </c>
      <c r="D111" s="349">
        <f>IF(F110+SUM(E$100:E110)=D$93,F110,D$93-SUM(E$100:E110))</f>
        <v>50437734.404761896</v>
      </c>
      <c r="E111" s="509">
        <f t="shared" si="20"/>
        <v>4174868.2380952379</v>
      </c>
      <c r="F111" s="510">
        <f t="shared" si="21"/>
        <v>46262866.166666657</v>
      </c>
      <c r="G111" s="510">
        <f t="shared" si="22"/>
        <v>48350300.285714276</v>
      </c>
      <c r="H111" s="627">
        <f t="shared" si="23"/>
        <v>9723489.4164680559</v>
      </c>
      <c r="I111" s="628">
        <f t="shared" si="24"/>
        <v>9723489.4164680559</v>
      </c>
      <c r="J111" s="504">
        <f t="shared" si="16"/>
        <v>0</v>
      </c>
      <c r="K111" s="504"/>
      <c r="L111" s="512"/>
      <c r="M111" s="504">
        <f t="shared" si="17"/>
        <v>0</v>
      </c>
      <c r="N111" s="512"/>
      <c r="O111" s="504">
        <f t="shared" si="18"/>
        <v>0</v>
      </c>
      <c r="P111" s="504">
        <f t="shared" si="19"/>
        <v>0</v>
      </c>
    </row>
    <row r="112" spans="1:16">
      <c r="B112" s="145" t="str">
        <f t="shared" si="15"/>
        <v/>
      </c>
      <c r="C112" s="495">
        <f>IF(D94="","-",+C111+1)</f>
        <v>2029</v>
      </c>
      <c r="D112" s="349">
        <f>IF(F111+SUM(E$100:E111)=D$93,F111,D$93-SUM(E$100:E111))</f>
        <v>46262866.166666657</v>
      </c>
      <c r="E112" s="509">
        <f t="shared" si="20"/>
        <v>4174868.2380952379</v>
      </c>
      <c r="F112" s="510">
        <f t="shared" si="21"/>
        <v>42087997.928571418</v>
      </c>
      <c r="G112" s="510">
        <f t="shared" si="22"/>
        <v>44175432.047619037</v>
      </c>
      <c r="H112" s="627">
        <f t="shared" si="23"/>
        <v>9244386.6562799141</v>
      </c>
      <c r="I112" s="628">
        <f t="shared" si="24"/>
        <v>9244386.6562799141</v>
      </c>
      <c r="J112" s="504">
        <f t="shared" si="16"/>
        <v>0</v>
      </c>
      <c r="K112" s="504"/>
      <c r="L112" s="512"/>
      <c r="M112" s="504">
        <f t="shared" si="17"/>
        <v>0</v>
      </c>
      <c r="N112" s="512"/>
      <c r="O112" s="504">
        <f t="shared" si="18"/>
        <v>0</v>
      </c>
      <c r="P112" s="504">
        <f t="shared" si="19"/>
        <v>0</v>
      </c>
    </row>
    <row r="113" spans="2:16">
      <c r="B113" s="145" t="str">
        <f t="shared" si="15"/>
        <v/>
      </c>
      <c r="C113" s="495">
        <f>IF(D94="","-",+C112+1)</f>
        <v>2030</v>
      </c>
      <c r="D113" s="349">
        <f>IF(F112+SUM(E$100:E112)=D$93,F112,D$93-SUM(E$100:E112))</f>
        <v>42087997.928571418</v>
      </c>
      <c r="E113" s="509">
        <f t="shared" si="20"/>
        <v>4174868.2380952379</v>
      </c>
      <c r="F113" s="510">
        <f t="shared" si="21"/>
        <v>37913129.690476179</v>
      </c>
      <c r="G113" s="510">
        <f t="shared" si="22"/>
        <v>40000563.809523799</v>
      </c>
      <c r="H113" s="627">
        <f t="shared" si="23"/>
        <v>8765283.8960917704</v>
      </c>
      <c r="I113" s="628">
        <f t="shared" si="24"/>
        <v>8765283.8960917704</v>
      </c>
      <c r="J113" s="504">
        <f t="shared" si="16"/>
        <v>0</v>
      </c>
      <c r="K113" s="504"/>
      <c r="L113" s="512"/>
      <c r="M113" s="504">
        <f t="shared" si="17"/>
        <v>0</v>
      </c>
      <c r="N113" s="512"/>
      <c r="O113" s="504">
        <f t="shared" si="18"/>
        <v>0</v>
      </c>
      <c r="P113" s="504">
        <f t="shared" si="19"/>
        <v>0</v>
      </c>
    </row>
    <row r="114" spans="2:16">
      <c r="B114" s="145" t="str">
        <f t="shared" si="15"/>
        <v/>
      </c>
      <c r="C114" s="495">
        <f>IF(D94="","-",+C113+1)</f>
        <v>2031</v>
      </c>
      <c r="D114" s="349">
        <f>IF(F113+SUM(E$100:E113)=D$93,F113,D$93-SUM(E$100:E113))</f>
        <v>37913129.690476179</v>
      </c>
      <c r="E114" s="509">
        <f t="shared" si="20"/>
        <v>4174868.2380952379</v>
      </c>
      <c r="F114" s="510">
        <f t="shared" si="21"/>
        <v>33738261.45238094</v>
      </c>
      <c r="G114" s="510">
        <f t="shared" si="22"/>
        <v>35825695.57142856</v>
      </c>
      <c r="H114" s="627">
        <f t="shared" si="23"/>
        <v>8286181.1359036276</v>
      </c>
      <c r="I114" s="628">
        <f t="shared" si="24"/>
        <v>8286181.1359036276</v>
      </c>
      <c r="J114" s="504">
        <f t="shared" si="16"/>
        <v>0</v>
      </c>
      <c r="K114" s="504"/>
      <c r="L114" s="512"/>
      <c r="M114" s="504">
        <f t="shared" si="17"/>
        <v>0</v>
      </c>
      <c r="N114" s="512"/>
      <c r="O114" s="504">
        <f t="shared" si="18"/>
        <v>0</v>
      </c>
      <c r="P114" s="504">
        <f t="shared" si="19"/>
        <v>0</v>
      </c>
    </row>
    <row r="115" spans="2:16">
      <c r="B115" s="145" t="str">
        <f t="shared" si="15"/>
        <v/>
      </c>
      <c r="C115" s="495">
        <f>IF(D94="","-",+C114+1)</f>
        <v>2032</v>
      </c>
      <c r="D115" s="349">
        <f>IF(F114+SUM(E$100:E114)=D$93,F114,D$93-SUM(E$100:E114))</f>
        <v>33738261.45238094</v>
      </c>
      <c r="E115" s="509">
        <f t="shared" si="20"/>
        <v>4174868.2380952379</v>
      </c>
      <c r="F115" s="510">
        <f t="shared" si="21"/>
        <v>29563393.214285702</v>
      </c>
      <c r="G115" s="510">
        <f t="shared" si="22"/>
        <v>31650827.333333321</v>
      </c>
      <c r="H115" s="627">
        <f t="shared" si="23"/>
        <v>7807078.3757154848</v>
      </c>
      <c r="I115" s="628">
        <f t="shared" si="24"/>
        <v>7807078.3757154848</v>
      </c>
      <c r="J115" s="504">
        <f t="shared" si="16"/>
        <v>0</v>
      </c>
      <c r="K115" s="504"/>
      <c r="L115" s="512"/>
      <c r="M115" s="504">
        <f t="shared" si="17"/>
        <v>0</v>
      </c>
      <c r="N115" s="512"/>
      <c r="O115" s="504">
        <f t="shared" si="18"/>
        <v>0</v>
      </c>
      <c r="P115" s="504">
        <f t="shared" si="19"/>
        <v>0</v>
      </c>
    </row>
    <row r="116" spans="2:16">
      <c r="B116" s="145" t="str">
        <f t="shared" si="15"/>
        <v/>
      </c>
      <c r="C116" s="495">
        <f>IF(D94="","-",+C115+1)</f>
        <v>2033</v>
      </c>
      <c r="D116" s="349">
        <f>IF(F115+SUM(E$100:E115)=D$93,F115,D$93-SUM(E$100:E115))</f>
        <v>29563393.214285702</v>
      </c>
      <c r="E116" s="509">
        <f t="shared" si="20"/>
        <v>4174868.2380952379</v>
      </c>
      <c r="F116" s="510">
        <f t="shared" si="21"/>
        <v>25388524.976190463</v>
      </c>
      <c r="G116" s="510">
        <f t="shared" si="22"/>
        <v>27475959.095238082</v>
      </c>
      <c r="H116" s="627">
        <f t="shared" si="23"/>
        <v>7327975.6155273421</v>
      </c>
      <c r="I116" s="628">
        <f t="shared" si="24"/>
        <v>7327975.6155273421</v>
      </c>
      <c r="J116" s="504">
        <f t="shared" si="16"/>
        <v>0</v>
      </c>
      <c r="K116" s="504"/>
      <c r="L116" s="512"/>
      <c r="M116" s="504">
        <f t="shared" si="17"/>
        <v>0</v>
      </c>
      <c r="N116" s="512"/>
      <c r="O116" s="504">
        <f t="shared" si="18"/>
        <v>0</v>
      </c>
      <c r="P116" s="504">
        <f t="shared" si="19"/>
        <v>0</v>
      </c>
    </row>
    <row r="117" spans="2:16">
      <c r="B117" s="145" t="str">
        <f t="shared" si="15"/>
        <v/>
      </c>
      <c r="C117" s="495">
        <f>IF(D94="","-",+C116+1)</f>
        <v>2034</v>
      </c>
      <c r="D117" s="349">
        <f>IF(F116+SUM(E$100:E116)=D$93,F116,D$93-SUM(E$100:E116))</f>
        <v>25388524.976190463</v>
      </c>
      <c r="E117" s="509">
        <f t="shared" si="20"/>
        <v>4174868.2380952379</v>
      </c>
      <c r="F117" s="510">
        <f t="shared" si="21"/>
        <v>21213656.738095224</v>
      </c>
      <c r="G117" s="510">
        <f t="shared" si="22"/>
        <v>23301090.857142843</v>
      </c>
      <c r="H117" s="627">
        <f t="shared" si="23"/>
        <v>6848872.8553391993</v>
      </c>
      <c r="I117" s="628">
        <f t="shared" si="24"/>
        <v>6848872.8553391993</v>
      </c>
      <c r="J117" s="504">
        <f t="shared" si="16"/>
        <v>0</v>
      </c>
      <c r="K117" s="504"/>
      <c r="L117" s="512"/>
      <c r="M117" s="504">
        <f t="shared" si="17"/>
        <v>0</v>
      </c>
      <c r="N117" s="512"/>
      <c r="O117" s="504">
        <f t="shared" si="18"/>
        <v>0</v>
      </c>
      <c r="P117" s="504">
        <f t="shared" si="19"/>
        <v>0</v>
      </c>
    </row>
    <row r="118" spans="2:16">
      <c r="B118" s="145" t="str">
        <f t="shared" si="15"/>
        <v/>
      </c>
      <c r="C118" s="495">
        <f>IF(D94="","-",+C117+1)</f>
        <v>2035</v>
      </c>
      <c r="D118" s="349">
        <f>IF(F117+SUM(E$100:E117)=D$93,F117,D$93-SUM(E$100:E117))</f>
        <v>21213656.738095224</v>
      </c>
      <c r="E118" s="509">
        <f t="shared" si="20"/>
        <v>4174868.2380952379</v>
      </c>
      <c r="F118" s="510">
        <f t="shared" si="21"/>
        <v>17038788.499999985</v>
      </c>
      <c r="G118" s="510">
        <f t="shared" si="22"/>
        <v>19126222.619047605</v>
      </c>
      <c r="H118" s="627">
        <f t="shared" si="23"/>
        <v>6369770.0951510575</v>
      </c>
      <c r="I118" s="628">
        <f t="shared" si="24"/>
        <v>6369770.0951510575</v>
      </c>
      <c r="J118" s="504">
        <f t="shared" si="16"/>
        <v>0</v>
      </c>
      <c r="K118" s="504"/>
      <c r="L118" s="512"/>
      <c r="M118" s="504">
        <f t="shared" si="17"/>
        <v>0</v>
      </c>
      <c r="N118" s="512"/>
      <c r="O118" s="504">
        <f t="shared" si="18"/>
        <v>0</v>
      </c>
      <c r="P118" s="504">
        <f t="shared" si="19"/>
        <v>0</v>
      </c>
    </row>
    <row r="119" spans="2:16">
      <c r="B119" s="145" t="str">
        <f t="shared" si="15"/>
        <v/>
      </c>
      <c r="C119" s="495">
        <f>IF(D94="","-",+C118+1)</f>
        <v>2036</v>
      </c>
      <c r="D119" s="349">
        <f>IF(F118+SUM(E$100:E118)=D$93,F118,D$93-SUM(E$100:E118))</f>
        <v>17038788.499999985</v>
      </c>
      <c r="E119" s="509">
        <f t="shared" si="20"/>
        <v>4174868.2380952379</v>
      </c>
      <c r="F119" s="510">
        <f t="shared" si="21"/>
        <v>12863920.261904746</v>
      </c>
      <c r="G119" s="510">
        <f t="shared" si="22"/>
        <v>14951354.380952366</v>
      </c>
      <c r="H119" s="627">
        <f t="shared" si="23"/>
        <v>5890667.3349629138</v>
      </c>
      <c r="I119" s="628">
        <f t="shared" si="24"/>
        <v>5890667.3349629138</v>
      </c>
      <c r="J119" s="504">
        <f t="shared" si="16"/>
        <v>0</v>
      </c>
      <c r="K119" s="504"/>
      <c r="L119" s="512"/>
      <c r="M119" s="504">
        <f t="shared" si="17"/>
        <v>0</v>
      </c>
      <c r="N119" s="512"/>
      <c r="O119" s="504">
        <f t="shared" si="18"/>
        <v>0</v>
      </c>
      <c r="P119" s="504">
        <f t="shared" si="19"/>
        <v>0</v>
      </c>
    </row>
    <row r="120" spans="2:16">
      <c r="B120" s="145" t="str">
        <f t="shared" si="15"/>
        <v/>
      </c>
      <c r="C120" s="495">
        <f>IF(D94="","-",+C119+1)</f>
        <v>2037</v>
      </c>
      <c r="D120" s="349">
        <f>IF(F119+SUM(E$100:E119)=D$93,F119,D$93-SUM(E$100:E119))</f>
        <v>12863920.261904746</v>
      </c>
      <c r="E120" s="509">
        <f t="shared" si="20"/>
        <v>4174868.2380952379</v>
      </c>
      <c r="F120" s="510">
        <f t="shared" si="21"/>
        <v>8689052.0238095075</v>
      </c>
      <c r="G120" s="510">
        <f t="shared" si="22"/>
        <v>10776486.142857127</v>
      </c>
      <c r="H120" s="627">
        <f t="shared" si="23"/>
        <v>5411564.5747747719</v>
      </c>
      <c r="I120" s="628">
        <f t="shared" si="24"/>
        <v>5411564.5747747719</v>
      </c>
      <c r="J120" s="504">
        <f t="shared" si="16"/>
        <v>0</v>
      </c>
      <c r="K120" s="504"/>
      <c r="L120" s="512"/>
      <c r="M120" s="504">
        <f t="shared" si="17"/>
        <v>0</v>
      </c>
      <c r="N120" s="512"/>
      <c r="O120" s="504">
        <f t="shared" si="18"/>
        <v>0</v>
      </c>
      <c r="P120" s="504">
        <f t="shared" si="19"/>
        <v>0</v>
      </c>
    </row>
    <row r="121" spans="2:16">
      <c r="B121" s="145" t="str">
        <f t="shared" si="15"/>
        <v/>
      </c>
      <c r="C121" s="495">
        <f>IF(D94="","-",+C120+1)</f>
        <v>2038</v>
      </c>
      <c r="D121" s="349">
        <f>IF(F120+SUM(E$100:E120)=D$93,F120,D$93-SUM(E$100:E120))</f>
        <v>8689052.0238095075</v>
      </c>
      <c r="E121" s="509">
        <f t="shared" si="20"/>
        <v>4174868.2380952379</v>
      </c>
      <c r="F121" s="510">
        <f t="shared" si="21"/>
        <v>4514183.7857142696</v>
      </c>
      <c r="G121" s="510">
        <f t="shared" si="22"/>
        <v>6601617.9047618881</v>
      </c>
      <c r="H121" s="627">
        <f t="shared" si="23"/>
        <v>4932461.8145866292</v>
      </c>
      <c r="I121" s="628">
        <f t="shared" si="24"/>
        <v>4932461.8145866292</v>
      </c>
      <c r="J121" s="504">
        <f t="shared" si="16"/>
        <v>0</v>
      </c>
      <c r="K121" s="504"/>
      <c r="L121" s="512"/>
      <c r="M121" s="504">
        <f t="shared" si="17"/>
        <v>0</v>
      </c>
      <c r="N121" s="512"/>
      <c r="O121" s="504">
        <f t="shared" si="18"/>
        <v>0</v>
      </c>
      <c r="P121" s="504">
        <f t="shared" si="19"/>
        <v>0</v>
      </c>
    </row>
    <row r="122" spans="2:16">
      <c r="B122" s="145" t="str">
        <f t="shared" si="15"/>
        <v/>
      </c>
      <c r="C122" s="495">
        <f>IF(D94="","-",+C121+1)</f>
        <v>2039</v>
      </c>
      <c r="D122" s="349">
        <f>IF(F121+SUM(E$100:E121)=D$93,F121,D$93-SUM(E$100:E121))</f>
        <v>4514183.7857142696</v>
      </c>
      <c r="E122" s="509">
        <f t="shared" si="20"/>
        <v>4174868.2380952379</v>
      </c>
      <c r="F122" s="510">
        <f t="shared" si="21"/>
        <v>339315.54761903174</v>
      </c>
      <c r="G122" s="510">
        <f t="shared" si="22"/>
        <v>2426749.6666666507</v>
      </c>
      <c r="H122" s="627">
        <f t="shared" si="23"/>
        <v>4453359.0543984864</v>
      </c>
      <c r="I122" s="628">
        <f t="shared" si="24"/>
        <v>4453359.0543984864</v>
      </c>
      <c r="J122" s="504">
        <f t="shared" si="16"/>
        <v>0</v>
      </c>
      <c r="K122" s="504"/>
      <c r="L122" s="512"/>
      <c r="M122" s="504">
        <f t="shared" si="17"/>
        <v>0</v>
      </c>
      <c r="N122" s="512"/>
      <c r="O122" s="504">
        <f t="shared" si="18"/>
        <v>0</v>
      </c>
      <c r="P122" s="504">
        <f t="shared" si="19"/>
        <v>0</v>
      </c>
    </row>
    <row r="123" spans="2:16">
      <c r="B123" s="145" t="str">
        <f t="shared" si="15"/>
        <v/>
      </c>
      <c r="C123" s="495">
        <f>IF(D94="","-",+C122+1)</f>
        <v>2040</v>
      </c>
      <c r="D123" s="349">
        <f>IF(F122+SUM(E$100:E122)=D$93,F122,D$93-SUM(E$100:E122))</f>
        <v>339315.54761903174</v>
      </c>
      <c r="E123" s="509">
        <f t="shared" si="20"/>
        <v>339315.54761903174</v>
      </c>
      <c r="F123" s="510">
        <f t="shared" si="21"/>
        <v>0</v>
      </c>
      <c r="G123" s="510">
        <f t="shared" si="22"/>
        <v>169657.77380951587</v>
      </c>
      <c r="H123" s="627">
        <f t="shared" si="23"/>
        <v>358785.26572362031</v>
      </c>
      <c r="I123" s="628">
        <f t="shared" si="24"/>
        <v>358785.26572362031</v>
      </c>
      <c r="J123" s="504">
        <f t="shared" si="16"/>
        <v>0</v>
      </c>
      <c r="K123" s="504"/>
      <c r="L123" s="512"/>
      <c r="M123" s="504">
        <f t="shared" si="17"/>
        <v>0</v>
      </c>
      <c r="N123" s="512"/>
      <c r="O123" s="504">
        <f t="shared" si="18"/>
        <v>0</v>
      </c>
      <c r="P123" s="504">
        <f t="shared" si="19"/>
        <v>0</v>
      </c>
    </row>
    <row r="124" spans="2:16">
      <c r="B124" s="145" t="str">
        <f t="shared" si="15"/>
        <v/>
      </c>
      <c r="C124" s="495">
        <f>IF(D94="","-",+C123+1)</f>
        <v>2041</v>
      </c>
      <c r="D124" s="349">
        <f>IF(F123+SUM(E$100:E123)=D$93,F123,D$93-SUM(E$100:E123))</f>
        <v>0</v>
      </c>
      <c r="E124" s="509">
        <f t="shared" si="20"/>
        <v>0</v>
      </c>
      <c r="F124" s="510">
        <f t="shared" si="21"/>
        <v>0</v>
      </c>
      <c r="G124" s="510">
        <f t="shared" si="22"/>
        <v>0</v>
      </c>
      <c r="H124" s="627">
        <f t="shared" si="23"/>
        <v>0</v>
      </c>
      <c r="I124" s="628">
        <f t="shared" si="24"/>
        <v>0</v>
      </c>
      <c r="J124" s="504">
        <f t="shared" si="16"/>
        <v>0</v>
      </c>
      <c r="K124" s="504"/>
      <c r="L124" s="512"/>
      <c r="M124" s="504">
        <f t="shared" si="17"/>
        <v>0</v>
      </c>
      <c r="N124" s="512"/>
      <c r="O124" s="504">
        <f t="shared" si="18"/>
        <v>0</v>
      </c>
      <c r="P124" s="504">
        <f t="shared" si="19"/>
        <v>0</v>
      </c>
    </row>
    <row r="125" spans="2:16">
      <c r="B125" s="145" t="str">
        <f t="shared" si="15"/>
        <v/>
      </c>
      <c r="C125" s="495">
        <f>IF(D94="","-",+C124+1)</f>
        <v>2042</v>
      </c>
      <c r="D125" s="349">
        <f>IF(F124+SUM(E$100:E124)=D$93,F124,D$93-SUM(E$100:E124))</f>
        <v>0</v>
      </c>
      <c r="E125" s="509">
        <f t="shared" si="20"/>
        <v>0</v>
      </c>
      <c r="F125" s="510">
        <f t="shared" si="21"/>
        <v>0</v>
      </c>
      <c r="G125" s="510">
        <f t="shared" si="22"/>
        <v>0</v>
      </c>
      <c r="H125" s="627">
        <f t="shared" si="23"/>
        <v>0</v>
      </c>
      <c r="I125" s="628">
        <f t="shared" si="24"/>
        <v>0</v>
      </c>
      <c r="J125" s="504">
        <f t="shared" si="16"/>
        <v>0</v>
      </c>
      <c r="K125" s="504"/>
      <c r="L125" s="512"/>
      <c r="M125" s="504">
        <f t="shared" si="17"/>
        <v>0</v>
      </c>
      <c r="N125" s="512"/>
      <c r="O125" s="504">
        <f t="shared" si="18"/>
        <v>0</v>
      </c>
      <c r="P125" s="504">
        <f t="shared" si="19"/>
        <v>0</v>
      </c>
    </row>
    <row r="126" spans="2:16">
      <c r="B126" s="145" t="str">
        <f t="shared" si="15"/>
        <v/>
      </c>
      <c r="C126" s="495">
        <f>IF(D94="","-",+C125+1)</f>
        <v>2043</v>
      </c>
      <c r="D126" s="349">
        <f>IF(F125+SUM(E$100:E125)=D$93,F125,D$93-SUM(E$100:E125))</f>
        <v>0</v>
      </c>
      <c r="E126" s="509">
        <f t="shared" si="20"/>
        <v>0</v>
      </c>
      <c r="F126" s="510">
        <f t="shared" si="21"/>
        <v>0</v>
      </c>
      <c r="G126" s="510">
        <f t="shared" si="22"/>
        <v>0</v>
      </c>
      <c r="H126" s="627">
        <f t="shared" si="23"/>
        <v>0</v>
      </c>
      <c r="I126" s="628">
        <f t="shared" si="24"/>
        <v>0</v>
      </c>
      <c r="J126" s="504">
        <f t="shared" si="16"/>
        <v>0</v>
      </c>
      <c r="K126" s="504"/>
      <c r="L126" s="512"/>
      <c r="M126" s="504">
        <f t="shared" si="17"/>
        <v>0</v>
      </c>
      <c r="N126" s="512"/>
      <c r="O126" s="504">
        <f t="shared" si="18"/>
        <v>0</v>
      </c>
      <c r="P126" s="504">
        <f t="shared" si="19"/>
        <v>0</v>
      </c>
    </row>
    <row r="127" spans="2:16">
      <c r="B127" s="145" t="str">
        <f t="shared" si="15"/>
        <v/>
      </c>
      <c r="C127" s="495">
        <f>IF(D94="","-",+C126+1)</f>
        <v>2044</v>
      </c>
      <c r="D127" s="349">
        <f>IF(F126+SUM(E$100:E126)=D$93,F126,D$93-SUM(E$100:E126))</f>
        <v>0</v>
      </c>
      <c r="E127" s="509">
        <f t="shared" si="20"/>
        <v>0</v>
      </c>
      <c r="F127" s="510">
        <f t="shared" si="21"/>
        <v>0</v>
      </c>
      <c r="G127" s="510">
        <f t="shared" si="22"/>
        <v>0</v>
      </c>
      <c r="H127" s="627">
        <f t="shared" si="23"/>
        <v>0</v>
      </c>
      <c r="I127" s="628">
        <f t="shared" si="24"/>
        <v>0</v>
      </c>
      <c r="J127" s="504">
        <f t="shared" si="16"/>
        <v>0</v>
      </c>
      <c r="K127" s="504"/>
      <c r="L127" s="512"/>
      <c r="M127" s="504">
        <f t="shared" si="17"/>
        <v>0</v>
      </c>
      <c r="N127" s="512"/>
      <c r="O127" s="504">
        <f t="shared" si="18"/>
        <v>0</v>
      </c>
      <c r="P127" s="504">
        <f t="shared" si="19"/>
        <v>0</v>
      </c>
    </row>
    <row r="128" spans="2:16">
      <c r="B128" s="145" t="str">
        <f t="shared" si="15"/>
        <v/>
      </c>
      <c r="C128" s="495">
        <f>IF(D94="","-",+C127+1)</f>
        <v>2045</v>
      </c>
      <c r="D128" s="349">
        <f>IF(F127+SUM(E$100:E127)=D$93,F127,D$93-SUM(E$100:E127))</f>
        <v>0</v>
      </c>
      <c r="E128" s="509">
        <f t="shared" si="20"/>
        <v>0</v>
      </c>
      <c r="F128" s="510">
        <f t="shared" si="21"/>
        <v>0</v>
      </c>
      <c r="G128" s="510">
        <f t="shared" si="22"/>
        <v>0</v>
      </c>
      <c r="H128" s="627">
        <f t="shared" si="23"/>
        <v>0</v>
      </c>
      <c r="I128" s="628">
        <f t="shared" si="24"/>
        <v>0</v>
      </c>
      <c r="J128" s="504">
        <f t="shared" si="16"/>
        <v>0</v>
      </c>
      <c r="K128" s="504"/>
      <c r="L128" s="512"/>
      <c r="M128" s="504">
        <f t="shared" si="17"/>
        <v>0</v>
      </c>
      <c r="N128" s="512"/>
      <c r="O128" s="504">
        <f t="shared" si="18"/>
        <v>0</v>
      </c>
      <c r="P128" s="504">
        <f t="shared" si="19"/>
        <v>0</v>
      </c>
    </row>
    <row r="129" spans="2:16">
      <c r="B129" s="145" t="str">
        <f t="shared" si="15"/>
        <v/>
      </c>
      <c r="C129" s="495">
        <f>IF(D94="","-",+C128+1)</f>
        <v>2046</v>
      </c>
      <c r="D129" s="349">
        <f>IF(F128+SUM(E$100:E128)=D$93,F128,D$93-SUM(E$100:E128))</f>
        <v>0</v>
      </c>
      <c r="E129" s="509">
        <f t="shared" si="20"/>
        <v>0</v>
      </c>
      <c r="F129" s="510">
        <f t="shared" si="21"/>
        <v>0</v>
      </c>
      <c r="G129" s="510">
        <f t="shared" si="22"/>
        <v>0</v>
      </c>
      <c r="H129" s="627">
        <f t="shared" si="23"/>
        <v>0</v>
      </c>
      <c r="I129" s="628">
        <f t="shared" si="24"/>
        <v>0</v>
      </c>
      <c r="J129" s="504">
        <f t="shared" si="16"/>
        <v>0</v>
      </c>
      <c r="K129" s="504"/>
      <c r="L129" s="512"/>
      <c r="M129" s="504">
        <f t="shared" si="17"/>
        <v>0</v>
      </c>
      <c r="N129" s="512"/>
      <c r="O129" s="504">
        <f t="shared" si="18"/>
        <v>0</v>
      </c>
      <c r="P129" s="504">
        <f t="shared" si="19"/>
        <v>0</v>
      </c>
    </row>
    <row r="130" spans="2:16">
      <c r="B130" s="145" t="str">
        <f t="shared" si="15"/>
        <v/>
      </c>
      <c r="C130" s="495">
        <f>IF(D94="","-",+C129+1)</f>
        <v>2047</v>
      </c>
      <c r="D130" s="349">
        <f>IF(F129+SUM(E$100:E129)=D$93,F129,D$93-SUM(E$100:E129))</f>
        <v>0</v>
      </c>
      <c r="E130" s="509">
        <f t="shared" si="20"/>
        <v>0</v>
      </c>
      <c r="F130" s="510">
        <f t="shared" si="21"/>
        <v>0</v>
      </c>
      <c r="G130" s="510">
        <f t="shared" si="22"/>
        <v>0</v>
      </c>
      <c r="H130" s="627">
        <f t="shared" si="23"/>
        <v>0</v>
      </c>
      <c r="I130" s="628">
        <f t="shared" si="24"/>
        <v>0</v>
      </c>
      <c r="J130" s="504">
        <f t="shared" si="16"/>
        <v>0</v>
      </c>
      <c r="K130" s="504"/>
      <c r="L130" s="512"/>
      <c r="M130" s="504">
        <f t="shared" si="17"/>
        <v>0</v>
      </c>
      <c r="N130" s="512"/>
      <c r="O130" s="504">
        <f t="shared" si="18"/>
        <v>0</v>
      </c>
      <c r="P130" s="504">
        <f t="shared" si="19"/>
        <v>0</v>
      </c>
    </row>
    <row r="131" spans="2:16">
      <c r="B131" s="145" t="str">
        <f t="shared" si="15"/>
        <v/>
      </c>
      <c r="C131" s="495">
        <f>IF(D94="","-",+C130+1)</f>
        <v>2048</v>
      </c>
      <c r="D131" s="349">
        <f>IF(F130+SUM(E$100:E130)=D$93,F130,D$93-SUM(E$100:E130))</f>
        <v>0</v>
      </c>
      <c r="E131" s="509">
        <f t="shared" si="20"/>
        <v>0</v>
      </c>
      <c r="F131" s="510">
        <f t="shared" si="21"/>
        <v>0</v>
      </c>
      <c r="G131" s="510">
        <f t="shared" si="22"/>
        <v>0</v>
      </c>
      <c r="H131" s="627">
        <f t="shared" si="23"/>
        <v>0</v>
      </c>
      <c r="I131" s="628">
        <f t="shared" si="24"/>
        <v>0</v>
      </c>
      <c r="J131" s="504">
        <f t="shared" si="16"/>
        <v>0</v>
      </c>
      <c r="K131" s="504"/>
      <c r="L131" s="512"/>
      <c r="M131" s="504">
        <f t="shared" si="17"/>
        <v>0</v>
      </c>
      <c r="N131" s="512"/>
      <c r="O131" s="504">
        <f t="shared" si="18"/>
        <v>0</v>
      </c>
      <c r="P131" s="504">
        <f t="shared" si="19"/>
        <v>0</v>
      </c>
    </row>
    <row r="132" spans="2:16">
      <c r="B132" s="145" t="str">
        <f t="shared" si="15"/>
        <v/>
      </c>
      <c r="C132" s="495">
        <f>IF(D94="","-",+C131+1)</f>
        <v>2049</v>
      </c>
      <c r="D132" s="349">
        <f>IF(F131+SUM(E$100:E131)=D$93,F131,D$93-SUM(E$100:E131))</f>
        <v>0</v>
      </c>
      <c r="E132" s="509">
        <f t="shared" si="20"/>
        <v>0</v>
      </c>
      <c r="F132" s="510">
        <f t="shared" ref="F132:F155" si="25">+D132-E132</f>
        <v>0</v>
      </c>
      <c r="G132" s="510">
        <f t="shared" ref="G132:G155" si="26">+(F132+D132)/2</f>
        <v>0</v>
      </c>
      <c r="H132" s="627">
        <f t="shared" si="23"/>
        <v>0</v>
      </c>
      <c r="I132" s="628">
        <f t="shared" si="24"/>
        <v>0</v>
      </c>
      <c r="J132" s="504">
        <f t="shared" ref="J132:J155" si="27">+I542-H542</f>
        <v>0</v>
      </c>
      <c r="K132" s="504"/>
      <c r="L132" s="512"/>
      <c r="M132" s="504">
        <f t="shared" ref="M132:M155" si="28">IF(L542&lt;&gt;0,+H542-L542,0)</f>
        <v>0</v>
      </c>
      <c r="N132" s="512"/>
      <c r="O132" s="504">
        <f t="shared" ref="O132:O155" si="29">IF(N542&lt;&gt;0,+I542-N542,0)</f>
        <v>0</v>
      </c>
      <c r="P132" s="504">
        <f t="shared" ref="P132:P155" si="30">+O542-M542</f>
        <v>0</v>
      </c>
    </row>
    <row r="133" spans="2:16">
      <c r="B133" s="145" t="str">
        <f t="shared" si="15"/>
        <v/>
      </c>
      <c r="C133" s="495">
        <f>IF(D94="","-",+C132+1)</f>
        <v>2050</v>
      </c>
      <c r="D133" s="349">
        <f>IF(F132+SUM(E$100:E132)=D$93,F132,D$93-SUM(E$100:E132))</f>
        <v>0</v>
      </c>
      <c r="E133" s="509">
        <f t="shared" ref="E133:E155" si="31">IF(+J$97&lt;F132,J$97,D133)</f>
        <v>0</v>
      </c>
      <c r="F133" s="510">
        <f t="shared" si="25"/>
        <v>0</v>
      </c>
      <c r="G133" s="510">
        <f t="shared" si="26"/>
        <v>0</v>
      </c>
      <c r="H133" s="627">
        <f t="shared" si="23"/>
        <v>0</v>
      </c>
      <c r="I133" s="628">
        <f t="shared" si="24"/>
        <v>0</v>
      </c>
      <c r="J133" s="504">
        <f t="shared" si="27"/>
        <v>0</v>
      </c>
      <c r="K133" s="504"/>
      <c r="L133" s="512"/>
      <c r="M133" s="504">
        <f t="shared" si="28"/>
        <v>0</v>
      </c>
      <c r="N133" s="512"/>
      <c r="O133" s="504">
        <f t="shared" si="29"/>
        <v>0</v>
      </c>
      <c r="P133" s="504">
        <f t="shared" si="30"/>
        <v>0</v>
      </c>
    </row>
    <row r="134" spans="2:16">
      <c r="B134" s="145" t="str">
        <f t="shared" si="15"/>
        <v/>
      </c>
      <c r="C134" s="495">
        <f>IF(D94="","-",+C133+1)</f>
        <v>2051</v>
      </c>
      <c r="D134" s="349">
        <f>IF(F133+SUM(E$100:E133)=D$93,F133,D$93-SUM(E$100:E133))</f>
        <v>0</v>
      </c>
      <c r="E134" s="509">
        <f t="shared" si="31"/>
        <v>0</v>
      </c>
      <c r="F134" s="510">
        <f t="shared" si="25"/>
        <v>0</v>
      </c>
      <c r="G134" s="510">
        <f t="shared" si="26"/>
        <v>0</v>
      </c>
      <c r="H134" s="627">
        <f t="shared" si="23"/>
        <v>0</v>
      </c>
      <c r="I134" s="628">
        <f t="shared" si="24"/>
        <v>0</v>
      </c>
      <c r="J134" s="504">
        <f t="shared" si="27"/>
        <v>0</v>
      </c>
      <c r="K134" s="504"/>
      <c r="L134" s="512"/>
      <c r="M134" s="504">
        <f t="shared" si="28"/>
        <v>0</v>
      </c>
      <c r="N134" s="512"/>
      <c r="O134" s="504">
        <f t="shared" si="29"/>
        <v>0</v>
      </c>
      <c r="P134" s="504">
        <f t="shared" si="30"/>
        <v>0</v>
      </c>
    </row>
    <row r="135" spans="2:16">
      <c r="B135" s="145" t="str">
        <f t="shared" si="15"/>
        <v/>
      </c>
      <c r="C135" s="495">
        <f>IF(D94="","-",+C134+1)</f>
        <v>2052</v>
      </c>
      <c r="D135" s="349">
        <f>IF(F134+SUM(E$100:E134)=D$93,F134,D$93-SUM(E$100:E134))</f>
        <v>0</v>
      </c>
      <c r="E135" s="509">
        <f t="shared" si="31"/>
        <v>0</v>
      </c>
      <c r="F135" s="510">
        <f t="shared" si="25"/>
        <v>0</v>
      </c>
      <c r="G135" s="510">
        <f t="shared" si="26"/>
        <v>0</v>
      </c>
      <c r="H135" s="627">
        <f t="shared" si="23"/>
        <v>0</v>
      </c>
      <c r="I135" s="628">
        <f t="shared" si="24"/>
        <v>0</v>
      </c>
      <c r="J135" s="504">
        <f t="shared" si="27"/>
        <v>0</v>
      </c>
      <c r="K135" s="504"/>
      <c r="L135" s="512"/>
      <c r="M135" s="504">
        <f t="shared" si="28"/>
        <v>0</v>
      </c>
      <c r="N135" s="512"/>
      <c r="O135" s="504">
        <f t="shared" si="29"/>
        <v>0</v>
      </c>
      <c r="P135" s="504">
        <f t="shared" si="30"/>
        <v>0</v>
      </c>
    </row>
    <row r="136" spans="2:16">
      <c r="B136" s="145" t="str">
        <f t="shared" si="15"/>
        <v/>
      </c>
      <c r="C136" s="495">
        <f>IF(D94="","-",+C135+1)</f>
        <v>2053</v>
      </c>
      <c r="D136" s="349">
        <f>IF(F135+SUM(E$100:E135)=D$93,F135,D$93-SUM(E$100:E135))</f>
        <v>0</v>
      </c>
      <c r="E136" s="509">
        <f t="shared" si="31"/>
        <v>0</v>
      </c>
      <c r="F136" s="510">
        <f t="shared" si="25"/>
        <v>0</v>
      </c>
      <c r="G136" s="510">
        <f t="shared" si="26"/>
        <v>0</v>
      </c>
      <c r="H136" s="627">
        <f t="shared" si="23"/>
        <v>0</v>
      </c>
      <c r="I136" s="628">
        <f t="shared" si="24"/>
        <v>0</v>
      </c>
      <c r="J136" s="504">
        <f t="shared" si="27"/>
        <v>0</v>
      </c>
      <c r="K136" s="504"/>
      <c r="L136" s="512"/>
      <c r="M136" s="504">
        <f t="shared" si="28"/>
        <v>0</v>
      </c>
      <c r="N136" s="512"/>
      <c r="O136" s="504">
        <f t="shared" si="29"/>
        <v>0</v>
      </c>
      <c r="P136" s="504">
        <f t="shared" si="30"/>
        <v>0</v>
      </c>
    </row>
    <row r="137" spans="2:16">
      <c r="B137" s="145" t="str">
        <f t="shared" si="15"/>
        <v/>
      </c>
      <c r="C137" s="495">
        <f>IF(D94="","-",+C136+1)</f>
        <v>2054</v>
      </c>
      <c r="D137" s="349">
        <f>IF(F136+SUM(E$100:E136)=D$93,F136,D$93-SUM(E$100:E136))</f>
        <v>0</v>
      </c>
      <c r="E137" s="509">
        <f t="shared" si="31"/>
        <v>0</v>
      </c>
      <c r="F137" s="510">
        <f t="shared" si="25"/>
        <v>0</v>
      </c>
      <c r="G137" s="510">
        <f t="shared" si="26"/>
        <v>0</v>
      </c>
      <c r="H137" s="627">
        <f t="shared" si="23"/>
        <v>0</v>
      </c>
      <c r="I137" s="628">
        <f t="shared" si="24"/>
        <v>0</v>
      </c>
      <c r="J137" s="504">
        <f t="shared" si="27"/>
        <v>0</v>
      </c>
      <c r="K137" s="504"/>
      <c r="L137" s="512"/>
      <c r="M137" s="504">
        <f t="shared" si="28"/>
        <v>0</v>
      </c>
      <c r="N137" s="512"/>
      <c r="O137" s="504">
        <f t="shared" si="29"/>
        <v>0</v>
      </c>
      <c r="P137" s="504">
        <f t="shared" si="30"/>
        <v>0</v>
      </c>
    </row>
    <row r="138" spans="2:16">
      <c r="B138" s="145" t="str">
        <f t="shared" si="15"/>
        <v/>
      </c>
      <c r="C138" s="495">
        <f>IF(D94="","-",+C137+1)</f>
        <v>2055</v>
      </c>
      <c r="D138" s="349">
        <f>IF(F137+SUM(E$100:E137)=D$93,F137,D$93-SUM(E$100:E137))</f>
        <v>0</v>
      </c>
      <c r="E138" s="509">
        <f t="shared" si="31"/>
        <v>0</v>
      </c>
      <c r="F138" s="510">
        <f t="shared" si="25"/>
        <v>0</v>
      </c>
      <c r="G138" s="510">
        <f t="shared" si="26"/>
        <v>0</v>
      </c>
      <c r="H138" s="627">
        <f t="shared" si="23"/>
        <v>0</v>
      </c>
      <c r="I138" s="628">
        <f t="shared" si="24"/>
        <v>0</v>
      </c>
      <c r="J138" s="504">
        <f t="shared" si="27"/>
        <v>0</v>
      </c>
      <c r="K138" s="504"/>
      <c r="L138" s="512"/>
      <c r="M138" s="504">
        <f t="shared" si="28"/>
        <v>0</v>
      </c>
      <c r="N138" s="512"/>
      <c r="O138" s="504">
        <f t="shared" si="29"/>
        <v>0</v>
      </c>
      <c r="P138" s="504">
        <f t="shared" si="30"/>
        <v>0</v>
      </c>
    </row>
    <row r="139" spans="2:16">
      <c r="B139" s="145" t="str">
        <f t="shared" si="15"/>
        <v/>
      </c>
      <c r="C139" s="495">
        <f>IF(D94="","-",+C138+1)</f>
        <v>2056</v>
      </c>
      <c r="D139" s="349">
        <f>IF(F138+SUM(E$100:E138)=D$93,F138,D$93-SUM(E$100:E138))</f>
        <v>0</v>
      </c>
      <c r="E139" s="509">
        <f t="shared" si="31"/>
        <v>0</v>
      </c>
      <c r="F139" s="510">
        <f t="shared" si="25"/>
        <v>0</v>
      </c>
      <c r="G139" s="510">
        <f t="shared" si="26"/>
        <v>0</v>
      </c>
      <c r="H139" s="627">
        <f t="shared" si="23"/>
        <v>0</v>
      </c>
      <c r="I139" s="628">
        <f t="shared" si="24"/>
        <v>0</v>
      </c>
      <c r="J139" s="504">
        <f t="shared" si="27"/>
        <v>0</v>
      </c>
      <c r="K139" s="504"/>
      <c r="L139" s="512"/>
      <c r="M139" s="504">
        <f t="shared" si="28"/>
        <v>0</v>
      </c>
      <c r="N139" s="512"/>
      <c r="O139" s="504">
        <f t="shared" si="29"/>
        <v>0</v>
      </c>
      <c r="P139" s="504">
        <f t="shared" si="30"/>
        <v>0</v>
      </c>
    </row>
    <row r="140" spans="2:16">
      <c r="B140" s="145" t="str">
        <f t="shared" si="15"/>
        <v/>
      </c>
      <c r="C140" s="495">
        <f>IF(D94="","-",+C139+1)</f>
        <v>2057</v>
      </c>
      <c r="D140" s="349">
        <f>IF(F139+SUM(E$100:E139)=D$93,F139,D$93-SUM(E$100:E139))</f>
        <v>0</v>
      </c>
      <c r="E140" s="509">
        <f t="shared" si="31"/>
        <v>0</v>
      </c>
      <c r="F140" s="510">
        <f t="shared" si="25"/>
        <v>0</v>
      </c>
      <c r="G140" s="510">
        <f t="shared" si="26"/>
        <v>0</v>
      </c>
      <c r="H140" s="627">
        <f t="shared" si="23"/>
        <v>0</v>
      </c>
      <c r="I140" s="628">
        <f t="shared" si="24"/>
        <v>0</v>
      </c>
      <c r="J140" s="504">
        <f t="shared" si="27"/>
        <v>0</v>
      </c>
      <c r="K140" s="504"/>
      <c r="L140" s="512"/>
      <c r="M140" s="504">
        <f t="shared" si="28"/>
        <v>0</v>
      </c>
      <c r="N140" s="512"/>
      <c r="O140" s="504">
        <f t="shared" si="29"/>
        <v>0</v>
      </c>
      <c r="P140" s="504">
        <f t="shared" si="30"/>
        <v>0</v>
      </c>
    </row>
    <row r="141" spans="2:16">
      <c r="B141" s="145" t="str">
        <f t="shared" si="15"/>
        <v/>
      </c>
      <c r="C141" s="495">
        <f>IF(D94="","-",+C140+1)</f>
        <v>2058</v>
      </c>
      <c r="D141" s="349">
        <f>IF(F140+SUM(E$100:E140)=D$93,F140,D$93-SUM(E$100:E140))</f>
        <v>0</v>
      </c>
      <c r="E141" s="509">
        <f t="shared" si="31"/>
        <v>0</v>
      </c>
      <c r="F141" s="510">
        <f t="shared" si="25"/>
        <v>0</v>
      </c>
      <c r="G141" s="510">
        <f t="shared" si="26"/>
        <v>0</v>
      </c>
      <c r="H141" s="627">
        <f t="shared" si="23"/>
        <v>0</v>
      </c>
      <c r="I141" s="628">
        <f t="shared" si="24"/>
        <v>0</v>
      </c>
      <c r="J141" s="504">
        <f t="shared" si="27"/>
        <v>0</v>
      </c>
      <c r="K141" s="504"/>
      <c r="L141" s="512"/>
      <c r="M141" s="504">
        <f t="shared" si="28"/>
        <v>0</v>
      </c>
      <c r="N141" s="512"/>
      <c r="O141" s="504">
        <f t="shared" si="29"/>
        <v>0</v>
      </c>
      <c r="P141" s="504">
        <f t="shared" si="30"/>
        <v>0</v>
      </c>
    </row>
    <row r="142" spans="2:16">
      <c r="B142" s="145" t="str">
        <f t="shared" si="15"/>
        <v/>
      </c>
      <c r="C142" s="495">
        <f>IF(D94="","-",+C141+1)</f>
        <v>2059</v>
      </c>
      <c r="D142" s="349">
        <f>IF(F141+SUM(E$100:E141)=D$93,F141,D$93-SUM(E$100:E141))</f>
        <v>0</v>
      </c>
      <c r="E142" s="509">
        <f t="shared" si="31"/>
        <v>0</v>
      </c>
      <c r="F142" s="510">
        <f t="shared" si="25"/>
        <v>0</v>
      </c>
      <c r="G142" s="510">
        <f t="shared" si="26"/>
        <v>0</v>
      </c>
      <c r="H142" s="627">
        <f t="shared" si="23"/>
        <v>0</v>
      </c>
      <c r="I142" s="628">
        <f t="shared" si="24"/>
        <v>0</v>
      </c>
      <c r="J142" s="504">
        <f t="shared" si="27"/>
        <v>0</v>
      </c>
      <c r="K142" s="504"/>
      <c r="L142" s="512"/>
      <c r="M142" s="504">
        <f t="shared" si="28"/>
        <v>0</v>
      </c>
      <c r="N142" s="512"/>
      <c r="O142" s="504">
        <f t="shared" si="29"/>
        <v>0</v>
      </c>
      <c r="P142" s="504">
        <f t="shared" si="30"/>
        <v>0</v>
      </c>
    </row>
    <row r="143" spans="2:16">
      <c r="B143" s="145" t="str">
        <f t="shared" si="15"/>
        <v/>
      </c>
      <c r="C143" s="495">
        <f>IF(D94="","-",+C142+1)</f>
        <v>2060</v>
      </c>
      <c r="D143" s="349">
        <f>IF(F142+SUM(E$100:E142)=D$93,F142,D$93-SUM(E$100:E142))</f>
        <v>0</v>
      </c>
      <c r="E143" s="509">
        <f t="shared" si="31"/>
        <v>0</v>
      </c>
      <c r="F143" s="510">
        <f t="shared" si="25"/>
        <v>0</v>
      </c>
      <c r="G143" s="510">
        <f t="shared" si="26"/>
        <v>0</v>
      </c>
      <c r="H143" s="627">
        <f t="shared" si="23"/>
        <v>0</v>
      </c>
      <c r="I143" s="628">
        <f t="shared" si="24"/>
        <v>0</v>
      </c>
      <c r="J143" s="504">
        <f t="shared" si="27"/>
        <v>0</v>
      </c>
      <c r="K143" s="504"/>
      <c r="L143" s="512"/>
      <c r="M143" s="504">
        <f t="shared" si="28"/>
        <v>0</v>
      </c>
      <c r="N143" s="512"/>
      <c r="O143" s="504">
        <f t="shared" si="29"/>
        <v>0</v>
      </c>
      <c r="P143" s="504">
        <f t="shared" si="30"/>
        <v>0</v>
      </c>
    </row>
    <row r="144" spans="2:16">
      <c r="B144" s="145" t="str">
        <f t="shared" si="15"/>
        <v/>
      </c>
      <c r="C144" s="495">
        <f>IF(D94="","-",+C143+1)</f>
        <v>2061</v>
      </c>
      <c r="D144" s="349">
        <f>IF(F143+SUM(E$100:E143)=D$93,F143,D$93-SUM(E$100:E143))</f>
        <v>0</v>
      </c>
      <c r="E144" s="509">
        <f t="shared" si="31"/>
        <v>0</v>
      </c>
      <c r="F144" s="510">
        <f t="shared" si="25"/>
        <v>0</v>
      </c>
      <c r="G144" s="510">
        <f t="shared" si="26"/>
        <v>0</v>
      </c>
      <c r="H144" s="627">
        <f t="shared" si="23"/>
        <v>0</v>
      </c>
      <c r="I144" s="628">
        <f t="shared" si="24"/>
        <v>0</v>
      </c>
      <c r="J144" s="504">
        <f t="shared" si="27"/>
        <v>0</v>
      </c>
      <c r="K144" s="504"/>
      <c r="L144" s="512"/>
      <c r="M144" s="504">
        <f t="shared" si="28"/>
        <v>0</v>
      </c>
      <c r="N144" s="512"/>
      <c r="O144" s="504">
        <f t="shared" si="29"/>
        <v>0</v>
      </c>
      <c r="P144" s="504">
        <f t="shared" si="30"/>
        <v>0</v>
      </c>
    </row>
    <row r="145" spans="2:16">
      <c r="B145" s="145" t="str">
        <f t="shared" si="15"/>
        <v/>
      </c>
      <c r="C145" s="495">
        <f>IF(D94="","-",+C144+1)</f>
        <v>2062</v>
      </c>
      <c r="D145" s="349">
        <f>IF(F144+SUM(E$100:E144)=D$93,F144,D$93-SUM(E$100:E144))</f>
        <v>0</v>
      </c>
      <c r="E145" s="509">
        <f t="shared" si="31"/>
        <v>0</v>
      </c>
      <c r="F145" s="510">
        <f t="shared" si="25"/>
        <v>0</v>
      </c>
      <c r="G145" s="510">
        <f t="shared" si="26"/>
        <v>0</v>
      </c>
      <c r="H145" s="627">
        <f t="shared" si="23"/>
        <v>0</v>
      </c>
      <c r="I145" s="628">
        <f t="shared" si="24"/>
        <v>0</v>
      </c>
      <c r="J145" s="504">
        <f t="shared" si="27"/>
        <v>0</v>
      </c>
      <c r="K145" s="504"/>
      <c r="L145" s="512"/>
      <c r="M145" s="504">
        <f t="shared" si="28"/>
        <v>0</v>
      </c>
      <c r="N145" s="512"/>
      <c r="O145" s="504">
        <f t="shared" si="29"/>
        <v>0</v>
      </c>
      <c r="P145" s="504">
        <f t="shared" si="30"/>
        <v>0</v>
      </c>
    </row>
    <row r="146" spans="2:16">
      <c r="B146" s="145" t="str">
        <f t="shared" si="15"/>
        <v/>
      </c>
      <c r="C146" s="495">
        <f>IF(D94="","-",+C145+1)</f>
        <v>2063</v>
      </c>
      <c r="D146" s="349">
        <f>IF(F145+SUM(E$100:E145)=D$93,F145,D$93-SUM(E$100:E145))</f>
        <v>0</v>
      </c>
      <c r="E146" s="509">
        <f t="shared" si="31"/>
        <v>0</v>
      </c>
      <c r="F146" s="510">
        <f t="shared" si="25"/>
        <v>0</v>
      </c>
      <c r="G146" s="510">
        <f t="shared" si="26"/>
        <v>0</v>
      </c>
      <c r="H146" s="627">
        <f t="shared" si="23"/>
        <v>0</v>
      </c>
      <c r="I146" s="628">
        <f t="shared" si="24"/>
        <v>0</v>
      </c>
      <c r="J146" s="504">
        <f t="shared" si="27"/>
        <v>0</v>
      </c>
      <c r="K146" s="504"/>
      <c r="L146" s="512"/>
      <c r="M146" s="504">
        <f t="shared" si="28"/>
        <v>0</v>
      </c>
      <c r="N146" s="512"/>
      <c r="O146" s="504">
        <f t="shared" si="29"/>
        <v>0</v>
      </c>
      <c r="P146" s="504">
        <f t="shared" si="30"/>
        <v>0</v>
      </c>
    </row>
    <row r="147" spans="2:16">
      <c r="B147" s="145" t="str">
        <f t="shared" si="15"/>
        <v/>
      </c>
      <c r="C147" s="495">
        <f>IF(D94="","-",+C146+1)</f>
        <v>2064</v>
      </c>
      <c r="D147" s="349">
        <f>IF(F146+SUM(E$100:E146)=D$93,F146,D$93-SUM(E$100:E146))</f>
        <v>0</v>
      </c>
      <c r="E147" s="509">
        <f t="shared" si="31"/>
        <v>0</v>
      </c>
      <c r="F147" s="510">
        <f t="shared" si="25"/>
        <v>0</v>
      </c>
      <c r="G147" s="510">
        <f t="shared" si="26"/>
        <v>0</v>
      </c>
      <c r="H147" s="627">
        <f t="shared" si="23"/>
        <v>0</v>
      </c>
      <c r="I147" s="628">
        <f t="shared" si="24"/>
        <v>0</v>
      </c>
      <c r="J147" s="504">
        <f t="shared" si="27"/>
        <v>0</v>
      </c>
      <c r="K147" s="504"/>
      <c r="L147" s="512"/>
      <c r="M147" s="504">
        <f t="shared" si="28"/>
        <v>0</v>
      </c>
      <c r="N147" s="512"/>
      <c r="O147" s="504">
        <f t="shared" si="29"/>
        <v>0</v>
      </c>
      <c r="P147" s="504">
        <f t="shared" si="30"/>
        <v>0</v>
      </c>
    </row>
    <row r="148" spans="2:16">
      <c r="B148" s="145" t="str">
        <f t="shared" si="15"/>
        <v/>
      </c>
      <c r="C148" s="495">
        <f>IF(D94="","-",+C147+1)</f>
        <v>2065</v>
      </c>
      <c r="D148" s="349">
        <f>IF(F147+SUM(E$100:E147)=D$93,F147,D$93-SUM(E$100:E147))</f>
        <v>0</v>
      </c>
      <c r="E148" s="509">
        <f t="shared" si="31"/>
        <v>0</v>
      </c>
      <c r="F148" s="510">
        <f t="shared" si="25"/>
        <v>0</v>
      </c>
      <c r="G148" s="510">
        <f t="shared" si="26"/>
        <v>0</v>
      </c>
      <c r="H148" s="627">
        <f t="shared" si="23"/>
        <v>0</v>
      </c>
      <c r="I148" s="628">
        <f t="shared" si="24"/>
        <v>0</v>
      </c>
      <c r="J148" s="504">
        <f t="shared" si="27"/>
        <v>0</v>
      </c>
      <c r="K148" s="504"/>
      <c r="L148" s="512"/>
      <c r="M148" s="504">
        <f t="shared" si="28"/>
        <v>0</v>
      </c>
      <c r="N148" s="512"/>
      <c r="O148" s="504">
        <f t="shared" si="29"/>
        <v>0</v>
      </c>
      <c r="P148" s="504">
        <f t="shared" si="30"/>
        <v>0</v>
      </c>
    </row>
    <row r="149" spans="2:16">
      <c r="B149" s="145" t="str">
        <f t="shared" si="15"/>
        <v/>
      </c>
      <c r="C149" s="495">
        <f>IF(D94="","-",+C148+1)</f>
        <v>2066</v>
      </c>
      <c r="D149" s="349">
        <f>IF(F148+SUM(E$100:E148)=D$93,F148,D$93-SUM(E$100:E148))</f>
        <v>0</v>
      </c>
      <c r="E149" s="509">
        <f t="shared" si="31"/>
        <v>0</v>
      </c>
      <c r="F149" s="510">
        <f t="shared" si="25"/>
        <v>0</v>
      </c>
      <c r="G149" s="510">
        <f t="shared" si="26"/>
        <v>0</v>
      </c>
      <c r="H149" s="627">
        <f t="shared" si="23"/>
        <v>0</v>
      </c>
      <c r="I149" s="628">
        <f t="shared" si="24"/>
        <v>0</v>
      </c>
      <c r="J149" s="504">
        <f t="shared" si="27"/>
        <v>0</v>
      </c>
      <c r="K149" s="504"/>
      <c r="L149" s="512"/>
      <c r="M149" s="504">
        <f t="shared" si="28"/>
        <v>0</v>
      </c>
      <c r="N149" s="512"/>
      <c r="O149" s="504">
        <f t="shared" si="29"/>
        <v>0</v>
      </c>
      <c r="P149" s="504">
        <f t="shared" si="30"/>
        <v>0</v>
      </c>
    </row>
    <row r="150" spans="2:16">
      <c r="B150" s="145" t="str">
        <f t="shared" si="15"/>
        <v/>
      </c>
      <c r="C150" s="495">
        <f>IF(D94="","-",+C149+1)</f>
        <v>2067</v>
      </c>
      <c r="D150" s="349">
        <f>IF(F149+SUM(E$100:E149)=D$93,F149,D$93-SUM(E$100:E149))</f>
        <v>0</v>
      </c>
      <c r="E150" s="509">
        <f t="shared" si="31"/>
        <v>0</v>
      </c>
      <c r="F150" s="510">
        <f t="shared" si="25"/>
        <v>0</v>
      </c>
      <c r="G150" s="510">
        <f t="shared" si="26"/>
        <v>0</v>
      </c>
      <c r="H150" s="627">
        <f t="shared" si="23"/>
        <v>0</v>
      </c>
      <c r="I150" s="628">
        <f t="shared" si="24"/>
        <v>0</v>
      </c>
      <c r="J150" s="504">
        <f t="shared" si="27"/>
        <v>0</v>
      </c>
      <c r="K150" s="504"/>
      <c r="L150" s="512"/>
      <c r="M150" s="504">
        <f t="shared" si="28"/>
        <v>0</v>
      </c>
      <c r="N150" s="512"/>
      <c r="O150" s="504">
        <f t="shared" si="29"/>
        <v>0</v>
      </c>
      <c r="P150" s="504">
        <f t="shared" si="30"/>
        <v>0</v>
      </c>
    </row>
    <row r="151" spans="2:16">
      <c r="B151" s="145" t="str">
        <f t="shared" si="15"/>
        <v/>
      </c>
      <c r="C151" s="495">
        <f>IF(D94="","-",+C150+1)</f>
        <v>2068</v>
      </c>
      <c r="D151" s="349">
        <f>IF(F150+SUM(E$100:E150)=D$93,F150,D$93-SUM(E$100:E150))</f>
        <v>0</v>
      </c>
      <c r="E151" s="509">
        <f t="shared" si="31"/>
        <v>0</v>
      </c>
      <c r="F151" s="510">
        <f t="shared" si="25"/>
        <v>0</v>
      </c>
      <c r="G151" s="510">
        <f t="shared" si="26"/>
        <v>0</v>
      </c>
      <c r="H151" s="627">
        <f t="shared" si="23"/>
        <v>0</v>
      </c>
      <c r="I151" s="628">
        <f t="shared" si="24"/>
        <v>0</v>
      </c>
      <c r="J151" s="504">
        <f t="shared" si="27"/>
        <v>0</v>
      </c>
      <c r="K151" s="504"/>
      <c r="L151" s="512"/>
      <c r="M151" s="504">
        <f t="shared" si="28"/>
        <v>0</v>
      </c>
      <c r="N151" s="512"/>
      <c r="O151" s="504">
        <f t="shared" si="29"/>
        <v>0</v>
      </c>
      <c r="P151" s="504">
        <f t="shared" si="30"/>
        <v>0</v>
      </c>
    </row>
    <row r="152" spans="2:16">
      <c r="B152" s="145" t="str">
        <f t="shared" si="15"/>
        <v/>
      </c>
      <c r="C152" s="495">
        <f>IF(D94="","-",+C151+1)</f>
        <v>2069</v>
      </c>
      <c r="D152" s="349">
        <f>IF(F151+SUM(E$100:E151)=D$93,F151,D$93-SUM(E$100:E151))</f>
        <v>0</v>
      </c>
      <c r="E152" s="509">
        <f t="shared" si="31"/>
        <v>0</v>
      </c>
      <c r="F152" s="510">
        <f t="shared" si="25"/>
        <v>0</v>
      </c>
      <c r="G152" s="510">
        <f t="shared" si="26"/>
        <v>0</v>
      </c>
      <c r="H152" s="627">
        <f t="shared" si="23"/>
        <v>0</v>
      </c>
      <c r="I152" s="628">
        <f t="shared" si="24"/>
        <v>0</v>
      </c>
      <c r="J152" s="504">
        <f t="shared" si="27"/>
        <v>0</v>
      </c>
      <c r="K152" s="504"/>
      <c r="L152" s="512"/>
      <c r="M152" s="504">
        <f t="shared" si="28"/>
        <v>0</v>
      </c>
      <c r="N152" s="512"/>
      <c r="O152" s="504">
        <f t="shared" si="29"/>
        <v>0</v>
      </c>
      <c r="P152" s="504">
        <f t="shared" si="30"/>
        <v>0</v>
      </c>
    </row>
    <row r="153" spans="2:16">
      <c r="B153" s="145" t="str">
        <f t="shared" si="15"/>
        <v/>
      </c>
      <c r="C153" s="495">
        <f>IF(D94="","-",+C152+1)</f>
        <v>2070</v>
      </c>
      <c r="D153" s="349">
        <f>IF(F152+SUM(E$100:E152)=D$93,F152,D$93-SUM(E$100:E152))</f>
        <v>0</v>
      </c>
      <c r="E153" s="509">
        <f t="shared" si="31"/>
        <v>0</v>
      </c>
      <c r="F153" s="510">
        <f t="shared" si="25"/>
        <v>0</v>
      </c>
      <c r="G153" s="510">
        <f t="shared" si="26"/>
        <v>0</v>
      </c>
      <c r="H153" s="627">
        <f t="shared" si="23"/>
        <v>0</v>
      </c>
      <c r="I153" s="628">
        <f t="shared" si="24"/>
        <v>0</v>
      </c>
      <c r="J153" s="504">
        <f t="shared" si="27"/>
        <v>0</v>
      </c>
      <c r="K153" s="504"/>
      <c r="L153" s="512"/>
      <c r="M153" s="504">
        <f t="shared" si="28"/>
        <v>0</v>
      </c>
      <c r="N153" s="512"/>
      <c r="O153" s="504">
        <f t="shared" si="29"/>
        <v>0</v>
      </c>
      <c r="P153" s="504">
        <f t="shared" si="30"/>
        <v>0</v>
      </c>
    </row>
    <row r="154" spans="2:16">
      <c r="B154" s="145" t="str">
        <f t="shared" si="15"/>
        <v/>
      </c>
      <c r="C154" s="495">
        <f>IF(D94="","-",+C153+1)</f>
        <v>2071</v>
      </c>
      <c r="D154" s="349">
        <f>IF(F153+SUM(E$100:E153)=D$93,F153,D$93-SUM(E$100:E153))</f>
        <v>0</v>
      </c>
      <c r="E154" s="509">
        <f t="shared" si="31"/>
        <v>0</v>
      </c>
      <c r="F154" s="510">
        <f t="shared" si="25"/>
        <v>0</v>
      </c>
      <c r="G154" s="510">
        <f t="shared" si="26"/>
        <v>0</v>
      </c>
      <c r="H154" s="627">
        <f t="shared" si="23"/>
        <v>0</v>
      </c>
      <c r="I154" s="628">
        <f t="shared" si="24"/>
        <v>0</v>
      </c>
      <c r="J154" s="504">
        <f t="shared" si="27"/>
        <v>0</v>
      </c>
      <c r="K154" s="504"/>
      <c r="L154" s="512"/>
      <c r="M154" s="504">
        <f t="shared" si="28"/>
        <v>0</v>
      </c>
      <c r="N154" s="512"/>
      <c r="O154" s="504">
        <f t="shared" si="29"/>
        <v>0</v>
      </c>
      <c r="P154" s="504">
        <f t="shared" si="30"/>
        <v>0</v>
      </c>
    </row>
    <row r="155" spans="2:16" ht="13.5" thickBot="1">
      <c r="B155" s="145" t="str">
        <f t="shared" si="15"/>
        <v/>
      </c>
      <c r="C155" s="524">
        <f>IF(D94="","-",+C154+1)</f>
        <v>2072</v>
      </c>
      <c r="D155" s="638">
        <f>IF(F154+SUM(E$100:E154)=D$93,F154,D$93-SUM(E$100:E154))</f>
        <v>0</v>
      </c>
      <c r="E155" s="526">
        <f t="shared" si="31"/>
        <v>0</v>
      </c>
      <c r="F155" s="527">
        <f t="shared" si="25"/>
        <v>0</v>
      </c>
      <c r="G155" s="527">
        <f t="shared" si="26"/>
        <v>0</v>
      </c>
      <c r="H155" s="623">
        <f t="shared" si="23"/>
        <v>0</v>
      </c>
      <c r="I155" s="624">
        <f t="shared" si="24"/>
        <v>0</v>
      </c>
      <c r="J155" s="531">
        <f t="shared" si="27"/>
        <v>0</v>
      </c>
      <c r="K155" s="504"/>
      <c r="L155" s="530"/>
      <c r="M155" s="531">
        <f t="shared" si="28"/>
        <v>0</v>
      </c>
      <c r="N155" s="530"/>
      <c r="O155" s="531">
        <f t="shared" si="29"/>
        <v>0</v>
      </c>
      <c r="P155" s="531">
        <f t="shared" si="30"/>
        <v>0</v>
      </c>
    </row>
    <row r="156" spans="2:16">
      <c r="C156" s="349" t="s">
        <v>75</v>
      </c>
      <c r="D156" s="294"/>
      <c r="E156" s="294">
        <f>SUM(E100:E155)</f>
        <v>87672232.999999985</v>
      </c>
      <c r="F156" s="294"/>
      <c r="G156" s="294"/>
      <c r="H156" s="294">
        <f>SUM(H100:H155)</f>
        <v>206709293.70666397</v>
      </c>
      <c r="I156" s="294">
        <f>SUM(I100:I155)</f>
        <v>206709293.70666397</v>
      </c>
      <c r="J156" s="294">
        <f>SUM(J100:J155)</f>
        <v>0</v>
      </c>
      <c r="K156" s="294"/>
      <c r="L156" s="294"/>
      <c r="M156" s="294"/>
      <c r="N156" s="294"/>
      <c r="O156" s="294"/>
      <c r="P156" s="243"/>
    </row>
    <row r="157" spans="2:16">
      <c r="C157" s="145" t="s">
        <v>90</v>
      </c>
      <c r="D157" s="292"/>
      <c r="E157" s="243"/>
      <c r="F157" s="243"/>
      <c r="G157" s="243"/>
      <c r="H157" s="243"/>
      <c r="I157" s="325"/>
      <c r="J157" s="325"/>
      <c r="K157" s="294"/>
      <c r="L157" s="325"/>
      <c r="M157" s="325"/>
      <c r="N157" s="325"/>
      <c r="O157" s="325"/>
      <c r="P157" s="243"/>
    </row>
    <row r="158" spans="2:16">
      <c r="C158" s="574"/>
      <c r="D158" s="292"/>
      <c r="E158" s="243"/>
      <c r="F158" s="243"/>
      <c r="G158" s="243"/>
      <c r="H158" s="243"/>
      <c r="I158" s="325"/>
      <c r="J158" s="325"/>
      <c r="K158" s="294"/>
      <c r="L158" s="325"/>
      <c r="M158" s="325"/>
      <c r="N158" s="325"/>
      <c r="O158" s="325"/>
      <c r="P158" s="243"/>
    </row>
    <row r="159" spans="2:16">
      <c r="C159" s="619" t="s">
        <v>130</v>
      </c>
      <c r="D159" s="292"/>
      <c r="E159" s="243"/>
      <c r="F159" s="243"/>
      <c r="G159" s="243"/>
      <c r="H159" s="243"/>
      <c r="I159" s="325"/>
      <c r="J159" s="325"/>
      <c r="K159" s="294"/>
      <c r="L159" s="325"/>
      <c r="M159" s="325"/>
      <c r="N159" s="325"/>
      <c r="O159" s="325"/>
      <c r="P159" s="243"/>
    </row>
    <row r="160" spans="2:16">
      <c r="C160" s="454" t="s">
        <v>76</v>
      </c>
      <c r="D160" s="349"/>
      <c r="E160" s="349"/>
      <c r="F160" s="349"/>
      <c r="G160" s="349"/>
      <c r="H160" s="294"/>
      <c r="I160" s="294"/>
      <c r="J160" s="350"/>
      <c r="K160" s="350"/>
      <c r="L160" s="350"/>
      <c r="M160" s="350"/>
      <c r="N160" s="350"/>
      <c r="O160" s="350"/>
      <c r="P160" s="243"/>
    </row>
    <row r="161" spans="3:16">
      <c r="C161" s="575" t="s">
        <v>77</v>
      </c>
      <c r="D161" s="349"/>
      <c r="E161" s="349"/>
      <c r="F161" s="349"/>
      <c r="G161" s="349"/>
      <c r="H161" s="294"/>
      <c r="I161" s="294"/>
      <c r="J161" s="350"/>
      <c r="K161" s="350"/>
      <c r="L161" s="350"/>
      <c r="M161" s="350"/>
      <c r="N161" s="350"/>
      <c r="O161" s="350"/>
      <c r="P161" s="243"/>
    </row>
    <row r="162" spans="3:16">
      <c r="C162" s="575"/>
      <c r="D162" s="349"/>
      <c r="E162" s="349"/>
      <c r="F162" s="349"/>
      <c r="G162" s="349"/>
      <c r="H162" s="294"/>
      <c r="I162" s="294"/>
      <c r="J162" s="350"/>
      <c r="K162" s="350"/>
      <c r="L162" s="350"/>
      <c r="M162" s="350"/>
      <c r="N162" s="350"/>
      <c r="O162" s="350"/>
      <c r="P162" s="243"/>
    </row>
    <row r="163" spans="3:16" ht="18">
      <c r="C163" s="575"/>
      <c r="D163" s="349"/>
      <c r="E163" s="349"/>
      <c r="F163" s="349"/>
      <c r="G163" s="349"/>
      <c r="H163" s="294"/>
      <c r="I163" s="294"/>
      <c r="J163" s="350"/>
      <c r="K163" s="350"/>
      <c r="L163" s="350"/>
      <c r="M163" s="350"/>
      <c r="N163" s="350"/>
      <c r="P163" s="583" t="s">
        <v>129</v>
      </c>
    </row>
  </sheetData>
  <conditionalFormatting sqref="C17:C71 C73">
    <cfRule type="cellIs" dxfId="23" priority="2" stopIfTrue="1" operator="equal">
      <formula>$I$10</formula>
    </cfRule>
  </conditionalFormatting>
  <conditionalFormatting sqref="C100:C155">
    <cfRule type="cellIs" dxfId="22" priority="3" stopIfTrue="1" operator="equal">
      <formula>$J$93</formula>
    </cfRule>
  </conditionalFormatting>
  <conditionalFormatting sqref="C72">
    <cfRule type="cellIs" dxfId="21"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zoomScale="85" zoomScaleNormal="85"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18 of 23</v>
      </c>
    </row>
    <row r="2" spans="1:16" ht="18">
      <c r="B2" s="243"/>
      <c r="C2" s="243"/>
      <c r="D2" s="292"/>
      <c r="E2" s="243"/>
      <c r="F2" s="243"/>
      <c r="G2" s="243"/>
      <c r="H2" s="325"/>
      <c r="I2" s="243"/>
      <c r="J2" s="278"/>
      <c r="K2" s="243"/>
      <c r="L2" s="243"/>
      <c r="M2" s="243"/>
      <c r="N2" s="243"/>
      <c r="P2" s="441" t="s">
        <v>131</v>
      </c>
    </row>
    <row r="3" spans="1:16" ht="18.75">
      <c r="B3" s="233" t="s">
        <v>42</v>
      </c>
      <c r="C3" s="305" t="s">
        <v>43</v>
      </c>
      <c r="D3" s="292"/>
      <c r="E3" s="243"/>
      <c r="F3" s="243"/>
      <c r="G3" s="243"/>
      <c r="H3" s="325"/>
      <c r="I3" s="325"/>
      <c r="J3" s="294"/>
      <c r="K3" s="325"/>
      <c r="L3" s="325"/>
      <c r="M3" s="325"/>
      <c r="N3" s="325"/>
      <c r="O3" s="243"/>
      <c r="P3" s="577">
        <v>1</v>
      </c>
    </row>
    <row r="4" spans="1:16" ht="15.75" thickBot="1">
      <c r="C4" s="304"/>
      <c r="D4" s="292"/>
      <c r="E4" s="243"/>
      <c r="F4" s="243"/>
      <c r="G4" s="243"/>
      <c r="H4" s="325"/>
      <c r="I4" s="325"/>
      <c r="J4" s="294"/>
      <c r="K4" s="325"/>
      <c r="L4" s="325"/>
      <c r="M4" s="325"/>
      <c r="N4" s="325"/>
      <c r="O4" s="243"/>
      <c r="P4" s="243"/>
    </row>
    <row r="5" spans="1:16" ht="15">
      <c r="C5" s="443" t="s">
        <v>44</v>
      </c>
      <c r="D5" s="292"/>
      <c r="E5" s="243"/>
      <c r="F5" s="243"/>
      <c r="G5" s="444"/>
      <c r="H5" s="243" t="s">
        <v>45</v>
      </c>
      <c r="I5" s="243"/>
      <c r="J5" s="278"/>
      <c r="K5" s="445" t="s">
        <v>242</v>
      </c>
      <c r="L5" s="446"/>
      <c r="M5" s="447"/>
      <c r="N5" s="448">
        <f>VLOOKUP(I10,C17:I73,5)</f>
        <v>2323095.2279110318</v>
      </c>
      <c r="P5" s="243"/>
    </row>
    <row r="6" spans="1:16" ht="15.75">
      <c r="C6" s="235"/>
      <c r="D6" s="292"/>
      <c r="E6" s="243"/>
      <c r="F6" s="243"/>
      <c r="G6" s="243"/>
      <c r="H6" s="449"/>
      <c r="I6" s="449"/>
      <c r="J6" s="450"/>
      <c r="K6" s="451" t="s">
        <v>243</v>
      </c>
      <c r="L6" s="452"/>
      <c r="M6" s="278"/>
      <c r="N6" s="453">
        <f>VLOOKUP(I10,C17:I73,6)</f>
        <v>2323095.2279110318</v>
      </c>
      <c r="O6" s="243"/>
      <c r="P6" s="243"/>
    </row>
    <row r="7" spans="1:16" ht="13.5" thickBot="1">
      <c r="C7" s="454" t="s">
        <v>46</v>
      </c>
      <c r="D7" s="637" t="s">
        <v>269</v>
      </c>
      <c r="E7" s="243"/>
      <c r="F7" s="243"/>
      <c r="G7" s="243"/>
      <c r="H7" s="325"/>
      <c r="I7" s="325"/>
      <c r="J7" s="294"/>
      <c r="K7" s="456" t="s">
        <v>47</v>
      </c>
      <c r="L7" s="457"/>
      <c r="M7" s="457"/>
      <c r="N7" s="458">
        <f>+N6-N5</f>
        <v>0</v>
      </c>
      <c r="O7" s="243"/>
      <c r="P7" s="243"/>
    </row>
    <row r="8" spans="1:16" ht="13.5" thickBot="1">
      <c r="C8" s="459"/>
      <c r="D8" s="460"/>
      <c r="E8" s="461"/>
      <c r="F8" s="461"/>
      <c r="G8" s="461"/>
      <c r="H8" s="461"/>
      <c r="I8" s="461"/>
      <c r="J8" s="462"/>
      <c r="K8" s="461"/>
      <c r="L8" s="461"/>
      <c r="M8" s="461"/>
      <c r="N8" s="461"/>
      <c r="O8" s="462"/>
      <c r="P8" s="248"/>
    </row>
    <row r="9" spans="1:16" ht="13.5" thickBot="1">
      <c r="C9" s="463" t="s">
        <v>48</v>
      </c>
      <c r="D9" s="464" t="s">
        <v>268</v>
      </c>
      <c r="E9" s="647" t="s">
        <v>294</v>
      </c>
      <c r="F9" s="465"/>
      <c r="G9" s="465"/>
      <c r="H9" s="465"/>
      <c r="I9" s="466"/>
      <c r="J9" s="467"/>
      <c r="O9" s="468"/>
      <c r="P9" s="278"/>
    </row>
    <row r="10" spans="1:16">
      <c r="C10" s="469" t="s">
        <v>49</v>
      </c>
      <c r="D10" s="470">
        <v>17093291</v>
      </c>
      <c r="E10" s="299" t="s">
        <v>50</v>
      </c>
      <c r="F10" s="468"/>
      <c r="G10" s="408"/>
      <c r="H10" s="408"/>
      <c r="I10" s="471">
        <f>+OKT.WS.F.BPU.ATRR.Projected!R101</f>
        <v>2022</v>
      </c>
      <c r="J10" s="467"/>
      <c r="K10" s="294" t="s">
        <v>51</v>
      </c>
      <c r="O10" s="278"/>
      <c r="P10" s="278"/>
    </row>
    <row r="11" spans="1:16">
      <c r="C11" s="472" t="s">
        <v>52</v>
      </c>
      <c r="D11" s="473">
        <v>2018</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row>
    <row r="12" spans="1:16">
      <c r="C12" s="472" t="s">
        <v>54</v>
      </c>
      <c r="D12" s="470">
        <v>12</v>
      </c>
      <c r="E12" s="472" t="s">
        <v>55</v>
      </c>
      <c r="F12" s="408"/>
      <c r="G12" s="220"/>
      <c r="H12" s="220"/>
      <c r="I12" s="476">
        <f>OKT.WS.F.BPU.ATRR.Projected!$F$79</f>
        <v>0.11475877389767174</v>
      </c>
      <c r="J12" s="413"/>
      <c r="K12" s="145" t="s">
        <v>56</v>
      </c>
      <c r="O12" s="278"/>
      <c r="P12" s="278"/>
    </row>
    <row r="13" spans="1:16">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row>
    <row r="14" spans="1:16" ht="13.5" thickBot="1">
      <c r="C14" s="472" t="s">
        <v>60</v>
      </c>
      <c r="D14" s="473" t="s">
        <v>61</v>
      </c>
      <c r="E14" s="278" t="s">
        <v>62</v>
      </c>
      <c r="F14" s="408"/>
      <c r="G14" s="220"/>
      <c r="H14" s="220"/>
      <c r="I14" s="477">
        <f>IF(D10=0,0,D10/D13)</f>
        <v>517978.51515151514</v>
      </c>
      <c r="J14" s="294"/>
      <c r="K14" s="294"/>
      <c r="L14" s="294"/>
      <c r="M14" s="294"/>
      <c r="N14" s="294"/>
      <c r="O14" s="278"/>
      <c r="P14" s="278"/>
    </row>
    <row r="15" spans="1:16"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row>
    <row r="16" spans="1:16"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row>
    <row r="17" spans="2:16">
      <c r="B17" s="145" t="str">
        <f t="shared" ref="B17:B71" si="0">IF(D17=F16,"","IU")</f>
        <v>IU</v>
      </c>
      <c r="C17" s="495">
        <f>IF(D11= "","-",D11)</f>
        <v>2018</v>
      </c>
      <c r="D17" s="641">
        <v>0</v>
      </c>
      <c r="E17" s="642">
        <v>0</v>
      </c>
      <c r="F17" s="643">
        <v>8591402</v>
      </c>
      <c r="G17" s="642">
        <v>472269.24918780552</v>
      </c>
      <c r="H17" s="644">
        <v>472269.24918780552</v>
      </c>
      <c r="I17" s="500">
        <f t="shared" ref="I17:I71" si="1">H17-G17</f>
        <v>0</v>
      </c>
      <c r="J17" s="500"/>
      <c r="K17" s="501">
        <f>+G17</f>
        <v>472269.24918780552</v>
      </c>
      <c r="L17" s="503">
        <f t="shared" ref="L17:L71" si="2">IF(K17&lt;&gt;0,+G17-K17,0)</f>
        <v>0</v>
      </c>
      <c r="M17" s="501">
        <f>+H17</f>
        <v>472269.24918780552</v>
      </c>
      <c r="N17" s="503">
        <f t="shared" ref="N17:N71" si="3">IF(M17&lt;&gt;0,+H17-M17,0)</f>
        <v>0</v>
      </c>
      <c r="O17" s="504">
        <f t="shared" ref="O17:O71" si="4">+N17-L17</f>
        <v>0</v>
      </c>
      <c r="P17" s="278"/>
    </row>
    <row r="18" spans="2:16">
      <c r="B18" s="145" t="str">
        <f t="shared" si="0"/>
        <v/>
      </c>
      <c r="C18" s="495">
        <f>IF(D11="","-",+C17+1)</f>
        <v>2019</v>
      </c>
      <c r="D18" s="614">
        <v>8591402</v>
      </c>
      <c r="E18" s="613">
        <v>254811.07676479843</v>
      </c>
      <c r="F18" s="614">
        <v>8336590.9232352013</v>
      </c>
      <c r="G18" s="613">
        <v>1134524.7126540036</v>
      </c>
      <c r="H18" s="617">
        <v>1134524.7126540036</v>
      </c>
      <c r="I18" s="500">
        <f t="shared" si="1"/>
        <v>0</v>
      </c>
      <c r="J18" s="500"/>
      <c r="K18" s="592">
        <f>+G18</f>
        <v>1134524.7126540036</v>
      </c>
      <c r="L18" s="596">
        <f t="shared" si="2"/>
        <v>0</v>
      </c>
      <c r="M18" s="592">
        <f>+H18</f>
        <v>1134524.7126540036</v>
      </c>
      <c r="N18" s="504">
        <f t="shared" si="3"/>
        <v>0</v>
      </c>
      <c r="O18" s="504">
        <f t="shared" si="4"/>
        <v>0</v>
      </c>
      <c r="P18" s="278"/>
    </row>
    <row r="19" spans="2:16">
      <c r="B19" s="145" t="str">
        <f t="shared" si="0"/>
        <v>IU</v>
      </c>
      <c r="C19" s="495">
        <f>IF(D11="","-",+C18+1)</f>
        <v>2020</v>
      </c>
      <c r="D19" s="614">
        <v>15412336.915406611</v>
      </c>
      <c r="E19" s="613">
        <v>463640.04013383167</v>
      </c>
      <c r="F19" s="614">
        <v>14948696.875272779</v>
      </c>
      <c r="G19" s="613">
        <v>2056569.1179354885</v>
      </c>
      <c r="H19" s="617">
        <v>2056569.1179354885</v>
      </c>
      <c r="I19" s="500">
        <f t="shared" si="1"/>
        <v>0</v>
      </c>
      <c r="J19" s="500"/>
      <c r="K19" s="592">
        <f>+G19</f>
        <v>2056569.1179354885</v>
      </c>
      <c r="L19" s="596">
        <f t="shared" ref="L19" si="5">IF(K19&lt;&gt;0,+G19-K19,0)</f>
        <v>0</v>
      </c>
      <c r="M19" s="592">
        <f>+H19</f>
        <v>2056569.1179354885</v>
      </c>
      <c r="N19" s="504">
        <f t="shared" si="3"/>
        <v>0</v>
      </c>
      <c r="O19" s="504">
        <f t="shared" si="4"/>
        <v>0</v>
      </c>
      <c r="P19" s="278"/>
    </row>
    <row r="20" spans="2:16">
      <c r="B20" s="145" t="str">
        <f t="shared" si="0"/>
        <v>IU</v>
      </c>
      <c r="C20" s="495">
        <f>IF(D11="","-",+C19+1)</f>
        <v>2021</v>
      </c>
      <c r="D20" s="614">
        <v>15187426.611313635</v>
      </c>
      <c r="E20" s="613">
        <v>386188.73170731706</v>
      </c>
      <c r="F20" s="614">
        <v>14801237.879606318</v>
      </c>
      <c r="G20" s="613">
        <v>2147888.2260048082</v>
      </c>
      <c r="H20" s="617">
        <v>2147888.2260048082</v>
      </c>
      <c r="I20" s="500">
        <f t="shared" si="1"/>
        <v>0</v>
      </c>
      <c r="J20" s="500"/>
      <c r="K20" s="592">
        <f>+G20</f>
        <v>2147888.2260048082</v>
      </c>
      <c r="L20" s="596">
        <f t="shared" ref="L20" si="6">IF(K20&lt;&gt;0,+G20-K20,0)</f>
        <v>0</v>
      </c>
      <c r="M20" s="592">
        <f>+H20</f>
        <v>2147888.2260048082</v>
      </c>
      <c r="N20" s="504">
        <f t="shared" si="3"/>
        <v>0</v>
      </c>
      <c r="O20" s="504">
        <f t="shared" si="4"/>
        <v>0</v>
      </c>
      <c r="P20" s="278"/>
    </row>
    <row r="21" spans="2:16">
      <c r="B21" s="145" t="str">
        <f t="shared" si="0"/>
        <v>IU</v>
      </c>
      <c r="C21" s="495">
        <f>IF(D11="","-",+C20+1)</f>
        <v>2022</v>
      </c>
      <c r="D21" s="508">
        <f>IF(F20+SUM(E$17:E20)=D$10,F20,D$10-SUM(E$17:E20))</f>
        <v>15988651.151394052</v>
      </c>
      <c r="E21" s="509">
        <f t="shared" ref="E21:E71" si="7">IF(+I$14&lt;F20,I$14,D21)</f>
        <v>517978.51515151514</v>
      </c>
      <c r="F21" s="510">
        <f t="shared" ref="F21:F71" si="8">+D21-E21</f>
        <v>15470672.636242537</v>
      </c>
      <c r="G21" s="511">
        <f t="shared" ref="G21:G71" si="9">(D21+F21)/2*I$12+E21</f>
        <v>2323095.2279110318</v>
      </c>
      <c r="H21" s="477">
        <f t="shared" ref="H21:H71" si="10">+(D21+F21)/2*I$13+E21</f>
        <v>2323095.2279110318</v>
      </c>
      <c r="I21" s="500">
        <f t="shared" si="1"/>
        <v>0</v>
      </c>
      <c r="J21" s="500"/>
      <c r="K21" s="512"/>
      <c r="L21" s="504">
        <f t="shared" si="2"/>
        <v>0</v>
      </c>
      <c r="M21" s="512"/>
      <c r="N21" s="504">
        <f t="shared" si="3"/>
        <v>0</v>
      </c>
      <c r="O21" s="504">
        <f t="shared" si="4"/>
        <v>0</v>
      </c>
      <c r="P21" s="278"/>
    </row>
    <row r="22" spans="2:16">
      <c r="B22" s="145" t="str">
        <f t="shared" si="0"/>
        <v/>
      </c>
      <c r="C22" s="495">
        <f>IF(D11="","-",+C21+1)</f>
        <v>2023</v>
      </c>
      <c r="D22" s="508">
        <f>IF(F21+SUM(E$17:E21)=D$10,F21,D$10-SUM(E$17:E21))</f>
        <v>15470672.636242537</v>
      </c>
      <c r="E22" s="509">
        <f t="shared" si="7"/>
        <v>517978.51515151514</v>
      </c>
      <c r="F22" s="510">
        <f t="shared" si="8"/>
        <v>14952694.121091021</v>
      </c>
      <c r="G22" s="511">
        <f t="shared" si="9"/>
        <v>2263652.6486069076</v>
      </c>
      <c r="H22" s="477">
        <f t="shared" si="10"/>
        <v>2263652.6486069076</v>
      </c>
      <c r="I22" s="500">
        <f t="shared" si="1"/>
        <v>0</v>
      </c>
      <c r="J22" s="500"/>
      <c r="K22" s="512"/>
      <c r="L22" s="504">
        <f t="shared" si="2"/>
        <v>0</v>
      </c>
      <c r="M22" s="512"/>
      <c r="N22" s="504">
        <f t="shared" si="3"/>
        <v>0</v>
      </c>
      <c r="O22" s="504">
        <f t="shared" si="4"/>
        <v>0</v>
      </c>
      <c r="P22" s="278"/>
    </row>
    <row r="23" spans="2:16">
      <c r="B23" s="145" t="str">
        <f t="shared" si="0"/>
        <v/>
      </c>
      <c r="C23" s="495">
        <f>IF(D11="","-",+C22+1)</f>
        <v>2024</v>
      </c>
      <c r="D23" s="508">
        <f>IF(F22+SUM(E$17:E22)=D$10,F22,D$10-SUM(E$17:E22))</f>
        <v>14952694.121091021</v>
      </c>
      <c r="E23" s="509">
        <f t="shared" si="7"/>
        <v>517978.51515151514</v>
      </c>
      <c r="F23" s="510">
        <f t="shared" si="8"/>
        <v>14434715.605939506</v>
      </c>
      <c r="G23" s="511">
        <f t="shared" si="9"/>
        <v>2204210.0693027829</v>
      </c>
      <c r="H23" s="477">
        <f t="shared" si="10"/>
        <v>2204210.0693027829</v>
      </c>
      <c r="I23" s="500">
        <f t="shared" si="1"/>
        <v>0</v>
      </c>
      <c r="J23" s="500"/>
      <c r="K23" s="512"/>
      <c r="L23" s="504">
        <f t="shared" si="2"/>
        <v>0</v>
      </c>
      <c r="M23" s="512"/>
      <c r="N23" s="504">
        <f t="shared" si="3"/>
        <v>0</v>
      </c>
      <c r="O23" s="504">
        <f t="shared" si="4"/>
        <v>0</v>
      </c>
      <c r="P23" s="278"/>
    </row>
    <row r="24" spans="2:16">
      <c r="B24" s="145" t="str">
        <f t="shared" si="0"/>
        <v/>
      </c>
      <c r="C24" s="495">
        <f>IF(D11="","-",+C23+1)</f>
        <v>2025</v>
      </c>
      <c r="D24" s="508">
        <f>IF(F23+SUM(E$17:E23)=D$10,F23,D$10-SUM(E$17:E23))</f>
        <v>14434715.605939506</v>
      </c>
      <c r="E24" s="509">
        <f t="shared" si="7"/>
        <v>517978.51515151514</v>
      </c>
      <c r="F24" s="510">
        <f t="shared" si="8"/>
        <v>13916737.09078799</v>
      </c>
      <c r="G24" s="511">
        <f t="shared" si="9"/>
        <v>2144767.4899986582</v>
      </c>
      <c r="H24" s="477">
        <f t="shared" si="10"/>
        <v>2144767.4899986582</v>
      </c>
      <c r="I24" s="500">
        <f t="shared" si="1"/>
        <v>0</v>
      </c>
      <c r="J24" s="500"/>
      <c r="K24" s="512"/>
      <c r="L24" s="504">
        <f t="shared" si="2"/>
        <v>0</v>
      </c>
      <c r="M24" s="512"/>
      <c r="N24" s="504">
        <f t="shared" si="3"/>
        <v>0</v>
      </c>
      <c r="O24" s="504">
        <f t="shared" si="4"/>
        <v>0</v>
      </c>
      <c r="P24" s="278"/>
    </row>
    <row r="25" spans="2:16">
      <c r="B25" s="145" t="str">
        <f t="shared" si="0"/>
        <v/>
      </c>
      <c r="C25" s="495">
        <f>IF(D11="","-",+C24+1)</f>
        <v>2026</v>
      </c>
      <c r="D25" s="508">
        <f>IF(F24+SUM(E$17:E24)=D$10,F24,D$10-SUM(E$17:E24))</f>
        <v>13916737.09078799</v>
      </c>
      <c r="E25" s="509">
        <f t="shared" si="7"/>
        <v>517978.51515151514</v>
      </c>
      <c r="F25" s="510">
        <f t="shared" si="8"/>
        <v>13398758.575636474</v>
      </c>
      <c r="G25" s="511">
        <f t="shared" si="9"/>
        <v>2085324.9106945337</v>
      </c>
      <c r="H25" s="477">
        <f t="shared" si="10"/>
        <v>2085324.9106945337</v>
      </c>
      <c r="I25" s="500">
        <f t="shared" si="1"/>
        <v>0</v>
      </c>
      <c r="J25" s="500"/>
      <c r="K25" s="512"/>
      <c r="L25" s="504">
        <f t="shared" si="2"/>
        <v>0</v>
      </c>
      <c r="M25" s="512"/>
      <c r="N25" s="504">
        <f t="shared" si="3"/>
        <v>0</v>
      </c>
      <c r="O25" s="504">
        <f t="shared" si="4"/>
        <v>0</v>
      </c>
      <c r="P25" s="278"/>
    </row>
    <row r="26" spans="2:16">
      <c r="B26" s="145" t="str">
        <f t="shared" si="0"/>
        <v/>
      </c>
      <c r="C26" s="495">
        <f>IF(D11="","-",+C25+1)</f>
        <v>2027</v>
      </c>
      <c r="D26" s="508">
        <f>IF(F25+SUM(E$17:E25)=D$10,F25,D$10-SUM(E$17:E25))</f>
        <v>13398758.575636474</v>
      </c>
      <c r="E26" s="509">
        <f t="shared" si="7"/>
        <v>517978.51515151514</v>
      </c>
      <c r="F26" s="510">
        <f t="shared" si="8"/>
        <v>12880780.060484959</v>
      </c>
      <c r="G26" s="511">
        <f t="shared" si="9"/>
        <v>2025882.3313904093</v>
      </c>
      <c r="H26" s="477">
        <f t="shared" si="10"/>
        <v>2025882.3313904093</v>
      </c>
      <c r="I26" s="500">
        <f t="shared" si="1"/>
        <v>0</v>
      </c>
      <c r="J26" s="500"/>
      <c r="K26" s="512"/>
      <c r="L26" s="504">
        <f t="shared" si="2"/>
        <v>0</v>
      </c>
      <c r="M26" s="512"/>
      <c r="N26" s="504">
        <f t="shared" si="3"/>
        <v>0</v>
      </c>
      <c r="O26" s="504">
        <f t="shared" si="4"/>
        <v>0</v>
      </c>
      <c r="P26" s="278"/>
    </row>
    <row r="27" spans="2:16">
      <c r="B27" s="145" t="str">
        <f t="shared" si="0"/>
        <v/>
      </c>
      <c r="C27" s="495">
        <f>IF(D11="","-",+C26+1)</f>
        <v>2028</v>
      </c>
      <c r="D27" s="508">
        <f>IF(F26+SUM(E$17:E26)=D$10,F26,D$10-SUM(E$17:E26))</f>
        <v>12880780.060484959</v>
      </c>
      <c r="E27" s="509">
        <f t="shared" si="7"/>
        <v>517978.51515151514</v>
      </c>
      <c r="F27" s="510">
        <f t="shared" si="8"/>
        <v>12362801.545333443</v>
      </c>
      <c r="G27" s="511">
        <f t="shared" si="9"/>
        <v>1966439.7520862848</v>
      </c>
      <c r="H27" s="477">
        <f t="shared" si="10"/>
        <v>1966439.7520862848</v>
      </c>
      <c r="I27" s="500">
        <f t="shared" si="1"/>
        <v>0</v>
      </c>
      <c r="J27" s="500"/>
      <c r="K27" s="512"/>
      <c r="L27" s="504">
        <f t="shared" si="2"/>
        <v>0</v>
      </c>
      <c r="M27" s="512"/>
      <c r="N27" s="504">
        <f t="shared" si="3"/>
        <v>0</v>
      </c>
      <c r="O27" s="504">
        <f t="shared" si="4"/>
        <v>0</v>
      </c>
      <c r="P27" s="278"/>
    </row>
    <row r="28" spans="2:16">
      <c r="B28" s="145" t="str">
        <f t="shared" si="0"/>
        <v/>
      </c>
      <c r="C28" s="495">
        <f>IF(D11="","-",+C27+1)</f>
        <v>2029</v>
      </c>
      <c r="D28" s="508">
        <f>IF(F27+SUM(E$17:E27)=D$10,F27,D$10-SUM(E$17:E27))</f>
        <v>12362801.545333443</v>
      </c>
      <c r="E28" s="509">
        <f t="shared" si="7"/>
        <v>517978.51515151514</v>
      </c>
      <c r="F28" s="510">
        <f t="shared" si="8"/>
        <v>11844823.030181928</v>
      </c>
      <c r="G28" s="511">
        <f t="shared" si="9"/>
        <v>1906997.1727821603</v>
      </c>
      <c r="H28" s="477">
        <f t="shared" si="10"/>
        <v>1906997.1727821603</v>
      </c>
      <c r="I28" s="500">
        <f t="shared" si="1"/>
        <v>0</v>
      </c>
      <c r="J28" s="500"/>
      <c r="K28" s="512"/>
      <c r="L28" s="504">
        <f t="shared" si="2"/>
        <v>0</v>
      </c>
      <c r="M28" s="512"/>
      <c r="N28" s="504">
        <f t="shared" si="3"/>
        <v>0</v>
      </c>
      <c r="O28" s="504">
        <f t="shared" si="4"/>
        <v>0</v>
      </c>
      <c r="P28" s="278"/>
    </row>
    <row r="29" spans="2:16">
      <c r="B29" s="145" t="str">
        <f t="shared" si="0"/>
        <v/>
      </c>
      <c r="C29" s="495">
        <f>IF(D11="","-",+C28+1)</f>
        <v>2030</v>
      </c>
      <c r="D29" s="508">
        <f>IF(F28+SUM(E$17:E28)=D$10,F28,D$10-SUM(E$17:E28))</f>
        <v>11844823.030181928</v>
      </c>
      <c r="E29" s="509">
        <f t="shared" si="7"/>
        <v>517978.51515151514</v>
      </c>
      <c r="F29" s="510">
        <f t="shared" si="8"/>
        <v>11326844.515030412</v>
      </c>
      <c r="G29" s="511">
        <f t="shared" si="9"/>
        <v>1847554.5934780356</v>
      </c>
      <c r="H29" s="477">
        <f t="shared" si="10"/>
        <v>1847554.5934780356</v>
      </c>
      <c r="I29" s="500">
        <f t="shared" si="1"/>
        <v>0</v>
      </c>
      <c r="J29" s="500"/>
      <c r="K29" s="512"/>
      <c r="L29" s="504">
        <f t="shared" si="2"/>
        <v>0</v>
      </c>
      <c r="M29" s="512"/>
      <c r="N29" s="504">
        <f t="shared" si="3"/>
        <v>0</v>
      </c>
      <c r="O29" s="504">
        <f t="shared" si="4"/>
        <v>0</v>
      </c>
      <c r="P29" s="278"/>
    </row>
    <row r="30" spans="2:16">
      <c r="B30" s="145" t="str">
        <f t="shared" si="0"/>
        <v/>
      </c>
      <c r="C30" s="495">
        <f>IF(D11="","-",+C29+1)</f>
        <v>2031</v>
      </c>
      <c r="D30" s="508">
        <f>IF(F29+SUM(E$17:E29)=D$10,F29,D$10-SUM(E$17:E29))</f>
        <v>11326844.515030412</v>
      </c>
      <c r="E30" s="509">
        <f t="shared" si="7"/>
        <v>517978.51515151514</v>
      </c>
      <c r="F30" s="510">
        <f t="shared" si="8"/>
        <v>10808865.999878896</v>
      </c>
      <c r="G30" s="511">
        <f t="shared" si="9"/>
        <v>1788112.0141739112</v>
      </c>
      <c r="H30" s="477">
        <f t="shared" si="10"/>
        <v>1788112.0141739112</v>
      </c>
      <c r="I30" s="500">
        <f t="shared" si="1"/>
        <v>0</v>
      </c>
      <c r="J30" s="500"/>
      <c r="K30" s="512"/>
      <c r="L30" s="504">
        <f t="shared" si="2"/>
        <v>0</v>
      </c>
      <c r="M30" s="512"/>
      <c r="N30" s="504">
        <f t="shared" si="3"/>
        <v>0</v>
      </c>
      <c r="O30" s="504">
        <f t="shared" si="4"/>
        <v>0</v>
      </c>
      <c r="P30" s="278"/>
    </row>
    <row r="31" spans="2:16">
      <c r="B31" s="145" t="str">
        <f t="shared" si="0"/>
        <v/>
      </c>
      <c r="C31" s="495">
        <f>IF(D11="","-",+C30+1)</f>
        <v>2032</v>
      </c>
      <c r="D31" s="508">
        <f>IF(F30+SUM(E$17:E30)=D$10,F30,D$10-SUM(E$17:E30))</f>
        <v>10808865.999878896</v>
      </c>
      <c r="E31" s="509">
        <f t="shared" si="7"/>
        <v>517978.51515151514</v>
      </c>
      <c r="F31" s="510">
        <f t="shared" si="8"/>
        <v>10290887.484727381</v>
      </c>
      <c r="G31" s="511">
        <f t="shared" si="9"/>
        <v>1728669.4348697867</v>
      </c>
      <c r="H31" s="477">
        <f t="shared" si="10"/>
        <v>1728669.4348697867</v>
      </c>
      <c r="I31" s="500">
        <f t="shared" si="1"/>
        <v>0</v>
      </c>
      <c r="J31" s="500"/>
      <c r="K31" s="512"/>
      <c r="L31" s="504">
        <f t="shared" si="2"/>
        <v>0</v>
      </c>
      <c r="M31" s="512"/>
      <c r="N31" s="504">
        <f t="shared" si="3"/>
        <v>0</v>
      </c>
      <c r="O31" s="504">
        <f t="shared" si="4"/>
        <v>0</v>
      </c>
      <c r="P31" s="278"/>
    </row>
    <row r="32" spans="2:16">
      <c r="B32" s="145" t="str">
        <f t="shared" si="0"/>
        <v/>
      </c>
      <c r="C32" s="495">
        <f>IF(D11="","-",+C31+1)</f>
        <v>2033</v>
      </c>
      <c r="D32" s="508">
        <f>IF(F31+SUM(E$17:E31)=D$10,F31,D$10-SUM(E$17:E31))</f>
        <v>10290887.484727381</v>
      </c>
      <c r="E32" s="509">
        <f t="shared" si="7"/>
        <v>517978.51515151514</v>
      </c>
      <c r="F32" s="510">
        <f t="shared" si="8"/>
        <v>9772908.9695758652</v>
      </c>
      <c r="G32" s="511">
        <f t="shared" si="9"/>
        <v>1669226.8555656623</v>
      </c>
      <c r="H32" s="477">
        <f t="shared" si="10"/>
        <v>1669226.8555656623</v>
      </c>
      <c r="I32" s="500">
        <f t="shared" si="1"/>
        <v>0</v>
      </c>
      <c r="J32" s="500"/>
      <c r="K32" s="512"/>
      <c r="L32" s="504">
        <f t="shared" si="2"/>
        <v>0</v>
      </c>
      <c r="M32" s="512"/>
      <c r="N32" s="504">
        <f t="shared" si="3"/>
        <v>0</v>
      </c>
      <c r="O32" s="504">
        <f t="shared" si="4"/>
        <v>0</v>
      </c>
      <c r="P32" s="278"/>
    </row>
    <row r="33" spans="2:16">
      <c r="B33" s="145" t="str">
        <f t="shared" si="0"/>
        <v/>
      </c>
      <c r="C33" s="495">
        <f>IF(D11="","-",+C32+1)</f>
        <v>2034</v>
      </c>
      <c r="D33" s="508">
        <f>IF(F32+SUM(E$17:E32)=D$10,F32,D$10-SUM(E$17:E32))</f>
        <v>9772908.9695758652</v>
      </c>
      <c r="E33" s="509">
        <f t="shared" si="7"/>
        <v>517978.51515151514</v>
      </c>
      <c r="F33" s="510">
        <f t="shared" si="8"/>
        <v>9254930.4544243496</v>
      </c>
      <c r="G33" s="511">
        <f t="shared" si="9"/>
        <v>1609784.2762615376</v>
      </c>
      <c r="H33" s="477">
        <f t="shared" si="10"/>
        <v>1609784.2762615376</v>
      </c>
      <c r="I33" s="500">
        <f t="shared" si="1"/>
        <v>0</v>
      </c>
      <c r="J33" s="500"/>
      <c r="K33" s="512"/>
      <c r="L33" s="504">
        <f t="shared" si="2"/>
        <v>0</v>
      </c>
      <c r="M33" s="512"/>
      <c r="N33" s="504">
        <f t="shared" si="3"/>
        <v>0</v>
      </c>
      <c r="O33" s="504">
        <f t="shared" si="4"/>
        <v>0</v>
      </c>
      <c r="P33" s="278"/>
    </row>
    <row r="34" spans="2:16">
      <c r="B34" s="145" t="str">
        <f t="shared" si="0"/>
        <v/>
      </c>
      <c r="C34" s="495">
        <f>IF(D11="","-",+C33+1)</f>
        <v>2035</v>
      </c>
      <c r="D34" s="508">
        <f>IF(F33+SUM(E$17:E33)=D$10,F33,D$10-SUM(E$17:E33))</f>
        <v>9254930.4544243496</v>
      </c>
      <c r="E34" s="509">
        <f t="shared" si="7"/>
        <v>517978.51515151514</v>
      </c>
      <c r="F34" s="510">
        <f t="shared" si="8"/>
        <v>8736951.939272834</v>
      </c>
      <c r="G34" s="511">
        <f t="shared" si="9"/>
        <v>1550341.6969574131</v>
      </c>
      <c r="H34" s="477">
        <f t="shared" si="10"/>
        <v>1550341.6969574131</v>
      </c>
      <c r="I34" s="500">
        <f t="shared" si="1"/>
        <v>0</v>
      </c>
      <c r="J34" s="500"/>
      <c r="K34" s="512"/>
      <c r="L34" s="504">
        <f t="shared" si="2"/>
        <v>0</v>
      </c>
      <c r="M34" s="512"/>
      <c r="N34" s="504">
        <f t="shared" si="3"/>
        <v>0</v>
      </c>
      <c r="O34" s="504">
        <f t="shared" si="4"/>
        <v>0</v>
      </c>
      <c r="P34" s="278"/>
    </row>
    <row r="35" spans="2:16">
      <c r="B35" s="145" t="str">
        <f t="shared" si="0"/>
        <v/>
      </c>
      <c r="C35" s="495">
        <f>IF(D11="","-",+C34+1)</f>
        <v>2036</v>
      </c>
      <c r="D35" s="508">
        <f>IF(F34+SUM(E$17:E34)=D$10,F34,D$10-SUM(E$17:E34))</f>
        <v>8736951.939272834</v>
      </c>
      <c r="E35" s="509">
        <f t="shared" si="7"/>
        <v>517978.51515151514</v>
      </c>
      <c r="F35" s="510">
        <f t="shared" si="8"/>
        <v>8218973.4241213184</v>
      </c>
      <c r="G35" s="511">
        <f t="shared" si="9"/>
        <v>1490899.1176532886</v>
      </c>
      <c r="H35" s="477">
        <f t="shared" si="10"/>
        <v>1490899.1176532886</v>
      </c>
      <c r="I35" s="500">
        <f t="shared" si="1"/>
        <v>0</v>
      </c>
      <c r="J35" s="500"/>
      <c r="K35" s="512"/>
      <c r="L35" s="504">
        <f t="shared" si="2"/>
        <v>0</v>
      </c>
      <c r="M35" s="512"/>
      <c r="N35" s="504">
        <f t="shared" si="3"/>
        <v>0</v>
      </c>
      <c r="O35" s="504">
        <f t="shared" si="4"/>
        <v>0</v>
      </c>
      <c r="P35" s="278"/>
    </row>
    <row r="36" spans="2:16">
      <c r="B36" s="145" t="str">
        <f t="shared" si="0"/>
        <v/>
      </c>
      <c r="C36" s="495">
        <f>IF(D11="","-",+C35+1)</f>
        <v>2037</v>
      </c>
      <c r="D36" s="508">
        <f>IF(F35+SUM(E$17:E35)=D$10,F35,D$10-SUM(E$17:E35))</f>
        <v>8218973.4241213184</v>
      </c>
      <c r="E36" s="509">
        <f t="shared" si="7"/>
        <v>517978.51515151514</v>
      </c>
      <c r="F36" s="510">
        <f t="shared" si="8"/>
        <v>7700994.9089698028</v>
      </c>
      <c r="G36" s="511">
        <f t="shared" si="9"/>
        <v>1431456.5383491642</v>
      </c>
      <c r="H36" s="477">
        <f t="shared" si="10"/>
        <v>1431456.5383491642</v>
      </c>
      <c r="I36" s="500">
        <f t="shared" si="1"/>
        <v>0</v>
      </c>
      <c r="J36" s="500"/>
      <c r="K36" s="512"/>
      <c r="L36" s="504">
        <f t="shared" si="2"/>
        <v>0</v>
      </c>
      <c r="M36" s="512"/>
      <c r="N36" s="504">
        <f t="shared" si="3"/>
        <v>0</v>
      </c>
      <c r="O36" s="504">
        <f t="shared" si="4"/>
        <v>0</v>
      </c>
      <c r="P36" s="278"/>
    </row>
    <row r="37" spans="2:16">
      <c r="B37" s="145" t="str">
        <f t="shared" si="0"/>
        <v/>
      </c>
      <c r="C37" s="495">
        <f>IF(D11="","-",+C36+1)</f>
        <v>2038</v>
      </c>
      <c r="D37" s="508">
        <f>IF(F36+SUM(E$17:E36)=D$10,F36,D$10-SUM(E$17:E36))</f>
        <v>7700994.9089698028</v>
      </c>
      <c r="E37" s="509">
        <f t="shared" si="7"/>
        <v>517978.51515151514</v>
      </c>
      <c r="F37" s="510">
        <f t="shared" si="8"/>
        <v>7183016.3938182872</v>
      </c>
      <c r="G37" s="511">
        <f t="shared" si="9"/>
        <v>1372013.9590450395</v>
      </c>
      <c r="H37" s="477">
        <f t="shared" si="10"/>
        <v>1372013.9590450395</v>
      </c>
      <c r="I37" s="500">
        <f t="shared" si="1"/>
        <v>0</v>
      </c>
      <c r="J37" s="500"/>
      <c r="K37" s="512"/>
      <c r="L37" s="504">
        <f t="shared" si="2"/>
        <v>0</v>
      </c>
      <c r="M37" s="512"/>
      <c r="N37" s="504">
        <f t="shared" si="3"/>
        <v>0</v>
      </c>
      <c r="O37" s="504">
        <f t="shared" si="4"/>
        <v>0</v>
      </c>
      <c r="P37" s="278"/>
    </row>
    <row r="38" spans="2:16">
      <c r="B38" s="145" t="str">
        <f t="shared" si="0"/>
        <v/>
      </c>
      <c r="C38" s="495">
        <f>IF(D11="","-",+C37+1)</f>
        <v>2039</v>
      </c>
      <c r="D38" s="508">
        <f>IF(F37+SUM(E$17:E37)=D$10,F37,D$10-SUM(E$17:E37))</f>
        <v>7183016.3938182872</v>
      </c>
      <c r="E38" s="509">
        <f t="shared" si="7"/>
        <v>517978.51515151514</v>
      </c>
      <c r="F38" s="510">
        <f t="shared" si="8"/>
        <v>6665037.8786667716</v>
      </c>
      <c r="G38" s="511">
        <f t="shared" si="9"/>
        <v>1312571.3797409153</v>
      </c>
      <c r="H38" s="477">
        <f t="shared" si="10"/>
        <v>1312571.3797409153</v>
      </c>
      <c r="I38" s="500">
        <f t="shared" si="1"/>
        <v>0</v>
      </c>
      <c r="J38" s="500"/>
      <c r="K38" s="512"/>
      <c r="L38" s="504">
        <f t="shared" si="2"/>
        <v>0</v>
      </c>
      <c r="M38" s="512"/>
      <c r="N38" s="504">
        <f t="shared" si="3"/>
        <v>0</v>
      </c>
      <c r="O38" s="504">
        <f t="shared" si="4"/>
        <v>0</v>
      </c>
      <c r="P38" s="278"/>
    </row>
    <row r="39" spans="2:16">
      <c r="B39" s="145" t="str">
        <f t="shared" si="0"/>
        <v/>
      </c>
      <c r="C39" s="495">
        <f>IF(D11="","-",+C38+1)</f>
        <v>2040</v>
      </c>
      <c r="D39" s="508">
        <f>IF(F38+SUM(E$17:E38)=D$10,F38,D$10-SUM(E$17:E38))</f>
        <v>6665037.8786667716</v>
      </c>
      <c r="E39" s="509">
        <f t="shared" si="7"/>
        <v>517978.51515151514</v>
      </c>
      <c r="F39" s="510">
        <f t="shared" si="8"/>
        <v>6147059.363515256</v>
      </c>
      <c r="G39" s="511">
        <f t="shared" si="9"/>
        <v>1253128.8004367906</v>
      </c>
      <c r="H39" s="477">
        <f t="shared" si="10"/>
        <v>1253128.8004367906</v>
      </c>
      <c r="I39" s="500">
        <f t="shared" si="1"/>
        <v>0</v>
      </c>
      <c r="J39" s="500"/>
      <c r="K39" s="512"/>
      <c r="L39" s="504">
        <f t="shared" si="2"/>
        <v>0</v>
      </c>
      <c r="M39" s="512"/>
      <c r="N39" s="504">
        <f t="shared" si="3"/>
        <v>0</v>
      </c>
      <c r="O39" s="504">
        <f t="shared" si="4"/>
        <v>0</v>
      </c>
      <c r="P39" s="278"/>
    </row>
    <row r="40" spans="2:16">
      <c r="B40" s="145" t="str">
        <f t="shared" si="0"/>
        <v/>
      </c>
      <c r="C40" s="495">
        <f>IF(D11="","-",+C39+1)</f>
        <v>2041</v>
      </c>
      <c r="D40" s="508">
        <f>IF(F39+SUM(E$17:E39)=D$10,F39,D$10-SUM(E$17:E39))</f>
        <v>6147059.363515256</v>
      </c>
      <c r="E40" s="509">
        <f t="shared" si="7"/>
        <v>517978.51515151514</v>
      </c>
      <c r="F40" s="510">
        <f t="shared" si="8"/>
        <v>5629080.8483637404</v>
      </c>
      <c r="G40" s="511">
        <f t="shared" si="9"/>
        <v>1193686.2211326661</v>
      </c>
      <c r="H40" s="477">
        <f t="shared" si="10"/>
        <v>1193686.2211326661</v>
      </c>
      <c r="I40" s="500">
        <f t="shared" si="1"/>
        <v>0</v>
      </c>
      <c r="J40" s="500"/>
      <c r="K40" s="512"/>
      <c r="L40" s="504">
        <f t="shared" si="2"/>
        <v>0</v>
      </c>
      <c r="M40" s="512"/>
      <c r="N40" s="504">
        <f t="shared" si="3"/>
        <v>0</v>
      </c>
      <c r="O40" s="504">
        <f t="shared" si="4"/>
        <v>0</v>
      </c>
      <c r="P40" s="278"/>
    </row>
    <row r="41" spans="2:16">
      <c r="B41" s="145" t="str">
        <f t="shared" si="0"/>
        <v/>
      </c>
      <c r="C41" s="495">
        <f>IF(D11="","-",+C40+1)</f>
        <v>2042</v>
      </c>
      <c r="D41" s="508">
        <f>IF(F40+SUM(E$17:E40)=D$10,F40,D$10-SUM(E$17:E40))</f>
        <v>5629080.8483637404</v>
      </c>
      <c r="E41" s="509">
        <f t="shared" si="7"/>
        <v>517978.51515151514</v>
      </c>
      <c r="F41" s="510">
        <f t="shared" si="8"/>
        <v>5111102.3332122248</v>
      </c>
      <c r="G41" s="511">
        <f t="shared" si="9"/>
        <v>1134243.6418285416</v>
      </c>
      <c r="H41" s="477">
        <f t="shared" si="10"/>
        <v>1134243.6418285416</v>
      </c>
      <c r="I41" s="500">
        <f t="shared" si="1"/>
        <v>0</v>
      </c>
      <c r="J41" s="500"/>
      <c r="K41" s="512"/>
      <c r="L41" s="504">
        <f t="shared" si="2"/>
        <v>0</v>
      </c>
      <c r="M41" s="512"/>
      <c r="N41" s="504">
        <f t="shared" si="3"/>
        <v>0</v>
      </c>
      <c r="O41" s="504">
        <f t="shared" si="4"/>
        <v>0</v>
      </c>
      <c r="P41" s="278"/>
    </row>
    <row r="42" spans="2:16">
      <c r="B42" s="145" t="str">
        <f t="shared" si="0"/>
        <v/>
      </c>
      <c r="C42" s="495">
        <f>IF(D11="","-",+C41+1)</f>
        <v>2043</v>
      </c>
      <c r="D42" s="508">
        <f>IF(F41+SUM(E$17:E41)=D$10,F41,D$10-SUM(E$17:E41))</f>
        <v>5111102.3332122248</v>
      </c>
      <c r="E42" s="509">
        <f t="shared" si="7"/>
        <v>517978.51515151514</v>
      </c>
      <c r="F42" s="510">
        <f t="shared" si="8"/>
        <v>4593123.8180607092</v>
      </c>
      <c r="G42" s="511">
        <f t="shared" si="9"/>
        <v>1074801.0625244169</v>
      </c>
      <c r="H42" s="477">
        <f t="shared" si="10"/>
        <v>1074801.0625244169</v>
      </c>
      <c r="I42" s="500">
        <f t="shared" si="1"/>
        <v>0</v>
      </c>
      <c r="J42" s="500"/>
      <c r="K42" s="512"/>
      <c r="L42" s="504">
        <f t="shared" si="2"/>
        <v>0</v>
      </c>
      <c r="M42" s="512"/>
      <c r="N42" s="504">
        <f t="shared" si="3"/>
        <v>0</v>
      </c>
      <c r="O42" s="504">
        <f t="shared" si="4"/>
        <v>0</v>
      </c>
      <c r="P42" s="278"/>
    </row>
    <row r="43" spans="2:16">
      <c r="B43" s="145" t="str">
        <f t="shared" si="0"/>
        <v/>
      </c>
      <c r="C43" s="495">
        <f>IF(D11="","-",+C42+1)</f>
        <v>2044</v>
      </c>
      <c r="D43" s="508">
        <f>IF(F42+SUM(E$17:E42)=D$10,F42,D$10-SUM(E$17:E42))</f>
        <v>4593123.8180607092</v>
      </c>
      <c r="E43" s="509">
        <f t="shared" si="7"/>
        <v>517978.51515151514</v>
      </c>
      <c r="F43" s="510">
        <f t="shared" si="8"/>
        <v>4075145.302909194</v>
      </c>
      <c r="G43" s="511">
        <f t="shared" si="9"/>
        <v>1015358.4832202925</v>
      </c>
      <c r="H43" s="477">
        <f t="shared" si="10"/>
        <v>1015358.4832202925</v>
      </c>
      <c r="I43" s="500">
        <f t="shared" si="1"/>
        <v>0</v>
      </c>
      <c r="J43" s="500"/>
      <c r="K43" s="512"/>
      <c r="L43" s="504">
        <f t="shared" si="2"/>
        <v>0</v>
      </c>
      <c r="M43" s="512"/>
      <c r="N43" s="504">
        <f t="shared" si="3"/>
        <v>0</v>
      </c>
      <c r="O43" s="504">
        <f t="shared" si="4"/>
        <v>0</v>
      </c>
      <c r="P43" s="278"/>
    </row>
    <row r="44" spans="2:16">
      <c r="B44" s="145" t="str">
        <f t="shared" si="0"/>
        <v/>
      </c>
      <c r="C44" s="495">
        <f>IF(D11="","-",+C43+1)</f>
        <v>2045</v>
      </c>
      <c r="D44" s="508">
        <f>IF(F43+SUM(E$17:E43)=D$10,F43,D$10-SUM(E$17:E43))</f>
        <v>4075145.302909194</v>
      </c>
      <c r="E44" s="509">
        <f t="shared" si="7"/>
        <v>517978.51515151514</v>
      </c>
      <c r="F44" s="510">
        <f t="shared" si="8"/>
        <v>3557166.7877576789</v>
      </c>
      <c r="G44" s="511">
        <f t="shared" si="9"/>
        <v>955915.90391616814</v>
      </c>
      <c r="H44" s="477">
        <f t="shared" si="10"/>
        <v>955915.90391616814</v>
      </c>
      <c r="I44" s="500">
        <f t="shared" si="1"/>
        <v>0</v>
      </c>
      <c r="J44" s="500"/>
      <c r="K44" s="512"/>
      <c r="L44" s="504">
        <f t="shared" si="2"/>
        <v>0</v>
      </c>
      <c r="M44" s="512"/>
      <c r="N44" s="504">
        <f t="shared" si="3"/>
        <v>0</v>
      </c>
      <c r="O44" s="504">
        <f t="shared" si="4"/>
        <v>0</v>
      </c>
      <c r="P44" s="278"/>
    </row>
    <row r="45" spans="2:16">
      <c r="B45" s="145" t="str">
        <f t="shared" si="0"/>
        <v/>
      </c>
      <c r="C45" s="495">
        <f>IF(D11="","-",+C44+1)</f>
        <v>2046</v>
      </c>
      <c r="D45" s="508">
        <f>IF(F44+SUM(E$17:E44)=D$10,F44,D$10-SUM(E$17:E44))</f>
        <v>3557166.7877576789</v>
      </c>
      <c r="E45" s="509">
        <f t="shared" si="7"/>
        <v>517978.51515151514</v>
      </c>
      <c r="F45" s="510">
        <f t="shared" si="8"/>
        <v>3039188.2726061638</v>
      </c>
      <c r="G45" s="511">
        <f t="shared" si="9"/>
        <v>896473.32461204357</v>
      </c>
      <c r="H45" s="477">
        <f t="shared" si="10"/>
        <v>896473.32461204357</v>
      </c>
      <c r="I45" s="500">
        <f t="shared" si="1"/>
        <v>0</v>
      </c>
      <c r="J45" s="500"/>
      <c r="K45" s="512"/>
      <c r="L45" s="504">
        <f t="shared" si="2"/>
        <v>0</v>
      </c>
      <c r="M45" s="512"/>
      <c r="N45" s="504">
        <f t="shared" si="3"/>
        <v>0</v>
      </c>
      <c r="O45" s="504">
        <f t="shared" si="4"/>
        <v>0</v>
      </c>
      <c r="P45" s="278"/>
    </row>
    <row r="46" spans="2:16">
      <c r="B46" s="145" t="str">
        <f t="shared" si="0"/>
        <v/>
      </c>
      <c r="C46" s="495">
        <f>IF(D11="","-",+C45+1)</f>
        <v>2047</v>
      </c>
      <c r="D46" s="508">
        <f>IF(F45+SUM(E$17:E45)=D$10,F45,D$10-SUM(E$17:E45))</f>
        <v>3039188.2726061638</v>
      </c>
      <c r="E46" s="509">
        <f t="shared" si="7"/>
        <v>517978.51515151514</v>
      </c>
      <c r="F46" s="510">
        <f t="shared" si="8"/>
        <v>2521209.7574546486</v>
      </c>
      <c r="G46" s="511">
        <f t="shared" si="9"/>
        <v>837030.74530791922</v>
      </c>
      <c r="H46" s="477">
        <f t="shared" si="10"/>
        <v>837030.74530791922</v>
      </c>
      <c r="I46" s="500">
        <f t="shared" si="1"/>
        <v>0</v>
      </c>
      <c r="J46" s="500"/>
      <c r="K46" s="512"/>
      <c r="L46" s="504">
        <f t="shared" si="2"/>
        <v>0</v>
      </c>
      <c r="M46" s="512"/>
      <c r="N46" s="504">
        <f t="shared" si="3"/>
        <v>0</v>
      </c>
      <c r="O46" s="504">
        <f t="shared" si="4"/>
        <v>0</v>
      </c>
      <c r="P46" s="278"/>
    </row>
    <row r="47" spans="2:16">
      <c r="B47" s="145" t="str">
        <f t="shared" si="0"/>
        <v/>
      </c>
      <c r="C47" s="495">
        <f>IF(D11="","-",+C46+1)</f>
        <v>2048</v>
      </c>
      <c r="D47" s="508">
        <f>IF(F46+SUM(E$17:E46)=D$10,F46,D$10-SUM(E$17:E46))</f>
        <v>2521209.7574546486</v>
      </c>
      <c r="E47" s="509">
        <f t="shared" si="7"/>
        <v>517978.51515151514</v>
      </c>
      <c r="F47" s="510">
        <f t="shared" si="8"/>
        <v>2003231.2423031335</v>
      </c>
      <c r="G47" s="511">
        <f t="shared" si="9"/>
        <v>777588.16600379464</v>
      </c>
      <c r="H47" s="477">
        <f t="shared" si="10"/>
        <v>777588.16600379464</v>
      </c>
      <c r="I47" s="500">
        <f t="shared" si="1"/>
        <v>0</v>
      </c>
      <c r="J47" s="500"/>
      <c r="K47" s="512"/>
      <c r="L47" s="504">
        <f t="shared" si="2"/>
        <v>0</v>
      </c>
      <c r="M47" s="512"/>
      <c r="N47" s="504">
        <f t="shared" si="3"/>
        <v>0</v>
      </c>
      <c r="O47" s="504">
        <f t="shared" si="4"/>
        <v>0</v>
      </c>
      <c r="P47" s="278"/>
    </row>
    <row r="48" spans="2:16">
      <c r="B48" s="145" t="str">
        <f t="shared" si="0"/>
        <v/>
      </c>
      <c r="C48" s="495">
        <f>IF(D11="","-",+C47+1)</f>
        <v>2049</v>
      </c>
      <c r="D48" s="508">
        <f>IF(F47+SUM(E$17:E47)=D$10,F47,D$10-SUM(E$17:E47))</f>
        <v>2003231.2423031335</v>
      </c>
      <c r="E48" s="509">
        <f t="shared" si="7"/>
        <v>517978.51515151514</v>
      </c>
      <c r="F48" s="510">
        <f t="shared" si="8"/>
        <v>1485252.7271516183</v>
      </c>
      <c r="G48" s="511">
        <f t="shared" si="9"/>
        <v>718145.5866996703</v>
      </c>
      <c r="H48" s="477">
        <f t="shared" si="10"/>
        <v>718145.5866996703</v>
      </c>
      <c r="I48" s="500">
        <f t="shared" si="1"/>
        <v>0</v>
      </c>
      <c r="J48" s="500"/>
      <c r="K48" s="512"/>
      <c r="L48" s="504">
        <f t="shared" si="2"/>
        <v>0</v>
      </c>
      <c r="M48" s="512"/>
      <c r="N48" s="504">
        <f t="shared" si="3"/>
        <v>0</v>
      </c>
      <c r="O48" s="504">
        <f t="shared" si="4"/>
        <v>0</v>
      </c>
      <c r="P48" s="278"/>
    </row>
    <row r="49" spans="2:16">
      <c r="B49" s="145" t="str">
        <f t="shared" si="0"/>
        <v/>
      </c>
      <c r="C49" s="495">
        <f>IF(D11="","-",+C48+1)</f>
        <v>2050</v>
      </c>
      <c r="D49" s="508">
        <f>IF(F48+SUM(E$17:E48)=D$10,F48,D$10-SUM(E$17:E48))</f>
        <v>1485252.7271516183</v>
      </c>
      <c r="E49" s="509">
        <f t="shared" si="7"/>
        <v>517978.51515151514</v>
      </c>
      <c r="F49" s="510">
        <f t="shared" si="8"/>
        <v>967274.2120001032</v>
      </c>
      <c r="G49" s="511">
        <f t="shared" si="9"/>
        <v>658703.00739554584</v>
      </c>
      <c r="H49" s="477">
        <f t="shared" si="10"/>
        <v>658703.00739554584</v>
      </c>
      <c r="I49" s="500">
        <f t="shared" si="1"/>
        <v>0</v>
      </c>
      <c r="J49" s="500"/>
      <c r="K49" s="512"/>
      <c r="L49" s="504">
        <f t="shared" si="2"/>
        <v>0</v>
      </c>
      <c r="M49" s="512"/>
      <c r="N49" s="504">
        <f t="shared" si="3"/>
        <v>0</v>
      </c>
      <c r="O49" s="504">
        <f t="shared" si="4"/>
        <v>0</v>
      </c>
      <c r="P49" s="278"/>
    </row>
    <row r="50" spans="2:16">
      <c r="B50" s="145" t="str">
        <f t="shared" si="0"/>
        <v/>
      </c>
      <c r="C50" s="495">
        <f>IF(D11="","-",+C49+1)</f>
        <v>2051</v>
      </c>
      <c r="D50" s="508">
        <f>IF(F49+SUM(E$17:E49)=D$10,F49,D$10-SUM(E$17:E49))</f>
        <v>967274.2120001032</v>
      </c>
      <c r="E50" s="509">
        <f t="shared" si="7"/>
        <v>517978.51515151514</v>
      </c>
      <c r="F50" s="510">
        <f t="shared" si="8"/>
        <v>449295.69684858806</v>
      </c>
      <c r="G50" s="511">
        <f t="shared" si="9"/>
        <v>599260.42809142137</v>
      </c>
      <c r="H50" s="477">
        <f t="shared" si="10"/>
        <v>599260.42809142137</v>
      </c>
      <c r="I50" s="500">
        <f t="shared" si="1"/>
        <v>0</v>
      </c>
      <c r="J50" s="500"/>
      <c r="K50" s="512"/>
      <c r="L50" s="504">
        <f t="shared" si="2"/>
        <v>0</v>
      </c>
      <c r="M50" s="512"/>
      <c r="N50" s="504">
        <f t="shared" si="3"/>
        <v>0</v>
      </c>
      <c r="O50" s="504">
        <f t="shared" si="4"/>
        <v>0</v>
      </c>
      <c r="P50" s="278"/>
    </row>
    <row r="51" spans="2:16">
      <c r="B51" s="145" t="str">
        <f t="shared" si="0"/>
        <v/>
      </c>
      <c r="C51" s="495">
        <f>IF(D11="","-",+C50+1)</f>
        <v>2052</v>
      </c>
      <c r="D51" s="508">
        <f>IF(F50+SUM(E$17:E50)=D$10,F50,D$10-SUM(E$17:E50))</f>
        <v>449295.69684858806</v>
      </c>
      <c r="E51" s="509">
        <f t="shared" si="7"/>
        <v>449295.69684858806</v>
      </c>
      <c r="F51" s="510">
        <f t="shared" si="8"/>
        <v>0</v>
      </c>
      <c r="G51" s="511">
        <f t="shared" si="9"/>
        <v>475076.00849251007</v>
      </c>
      <c r="H51" s="477">
        <f t="shared" si="10"/>
        <v>475076.00849251007</v>
      </c>
      <c r="I51" s="500">
        <f t="shared" si="1"/>
        <v>0</v>
      </c>
      <c r="J51" s="500"/>
      <c r="K51" s="512"/>
      <c r="L51" s="504">
        <f t="shared" si="2"/>
        <v>0</v>
      </c>
      <c r="M51" s="512"/>
      <c r="N51" s="504">
        <f t="shared" si="3"/>
        <v>0</v>
      </c>
      <c r="O51" s="504">
        <f t="shared" si="4"/>
        <v>0</v>
      </c>
      <c r="P51" s="278"/>
    </row>
    <row r="52" spans="2:16">
      <c r="B52" s="145" t="str">
        <f t="shared" si="0"/>
        <v/>
      </c>
      <c r="C52" s="495">
        <f>IF(D11="","-",+C51+1)</f>
        <v>2053</v>
      </c>
      <c r="D52" s="508">
        <f>IF(F51+SUM(E$17:E51)=D$10,F51,D$10-SUM(E$17:E51))</f>
        <v>0</v>
      </c>
      <c r="E52" s="509">
        <f t="shared" si="7"/>
        <v>0</v>
      </c>
      <c r="F52" s="510">
        <f t="shared" si="8"/>
        <v>0</v>
      </c>
      <c r="G52" s="511">
        <f t="shared" si="9"/>
        <v>0</v>
      </c>
      <c r="H52" s="477">
        <f t="shared" si="10"/>
        <v>0</v>
      </c>
      <c r="I52" s="500">
        <f t="shared" si="1"/>
        <v>0</v>
      </c>
      <c r="J52" s="500"/>
      <c r="K52" s="512"/>
      <c r="L52" s="504">
        <f t="shared" si="2"/>
        <v>0</v>
      </c>
      <c r="M52" s="512"/>
      <c r="N52" s="504">
        <f t="shared" si="3"/>
        <v>0</v>
      </c>
      <c r="O52" s="504">
        <f t="shared" si="4"/>
        <v>0</v>
      </c>
      <c r="P52" s="278"/>
    </row>
    <row r="53" spans="2:16">
      <c r="B53" s="145" t="str">
        <f t="shared" si="0"/>
        <v/>
      </c>
      <c r="C53" s="495">
        <f>IF(D11="","-",+C52+1)</f>
        <v>2054</v>
      </c>
      <c r="D53" s="508">
        <f>IF(F52+SUM(E$17:E52)=D$10,F52,D$10-SUM(E$17:E52))</f>
        <v>0</v>
      </c>
      <c r="E53" s="509">
        <f t="shared" si="7"/>
        <v>0</v>
      </c>
      <c r="F53" s="510">
        <f t="shared" si="8"/>
        <v>0</v>
      </c>
      <c r="G53" s="511">
        <f t="shared" si="9"/>
        <v>0</v>
      </c>
      <c r="H53" s="477">
        <f t="shared" si="10"/>
        <v>0</v>
      </c>
      <c r="I53" s="500">
        <f t="shared" si="1"/>
        <v>0</v>
      </c>
      <c r="J53" s="500"/>
      <c r="K53" s="512"/>
      <c r="L53" s="504">
        <f t="shared" si="2"/>
        <v>0</v>
      </c>
      <c r="M53" s="512"/>
      <c r="N53" s="504">
        <f t="shared" si="3"/>
        <v>0</v>
      </c>
      <c r="O53" s="504">
        <f t="shared" si="4"/>
        <v>0</v>
      </c>
      <c r="P53" s="278"/>
    </row>
    <row r="54" spans="2:16">
      <c r="B54" s="145" t="str">
        <f t="shared" si="0"/>
        <v/>
      </c>
      <c r="C54" s="495">
        <f>IF(D11="","-",+C53+1)</f>
        <v>2055</v>
      </c>
      <c r="D54" s="508">
        <f>IF(F53+SUM(E$17:E53)=D$10,F53,D$10-SUM(E$17:E53))</f>
        <v>0</v>
      </c>
      <c r="E54" s="509">
        <f t="shared" si="7"/>
        <v>0</v>
      </c>
      <c r="F54" s="510">
        <f t="shared" si="8"/>
        <v>0</v>
      </c>
      <c r="G54" s="511">
        <f t="shared" si="9"/>
        <v>0</v>
      </c>
      <c r="H54" s="477">
        <f t="shared" si="10"/>
        <v>0</v>
      </c>
      <c r="I54" s="500">
        <f t="shared" si="1"/>
        <v>0</v>
      </c>
      <c r="J54" s="500"/>
      <c r="K54" s="512"/>
      <c r="L54" s="504">
        <f t="shared" si="2"/>
        <v>0</v>
      </c>
      <c r="M54" s="512"/>
      <c r="N54" s="504">
        <f t="shared" si="3"/>
        <v>0</v>
      </c>
      <c r="O54" s="504">
        <f t="shared" si="4"/>
        <v>0</v>
      </c>
      <c r="P54" s="278"/>
    </row>
    <row r="55" spans="2:16">
      <c r="B55" s="145" t="str">
        <f t="shared" si="0"/>
        <v/>
      </c>
      <c r="C55" s="495">
        <f>IF(D11="","-",+C54+1)</f>
        <v>2056</v>
      </c>
      <c r="D55" s="508">
        <f>IF(F54+SUM(E$17:E54)=D$10,F54,D$10-SUM(E$17:E54))</f>
        <v>0</v>
      </c>
      <c r="E55" s="509">
        <f t="shared" si="7"/>
        <v>0</v>
      </c>
      <c r="F55" s="510">
        <f t="shared" si="8"/>
        <v>0</v>
      </c>
      <c r="G55" s="511">
        <f t="shared" si="9"/>
        <v>0</v>
      </c>
      <c r="H55" s="477">
        <f t="shared" si="10"/>
        <v>0</v>
      </c>
      <c r="I55" s="500">
        <f t="shared" si="1"/>
        <v>0</v>
      </c>
      <c r="J55" s="500"/>
      <c r="K55" s="512"/>
      <c r="L55" s="504">
        <f t="shared" si="2"/>
        <v>0</v>
      </c>
      <c r="M55" s="512"/>
      <c r="N55" s="504">
        <f t="shared" si="3"/>
        <v>0</v>
      </c>
      <c r="O55" s="504">
        <f t="shared" si="4"/>
        <v>0</v>
      </c>
      <c r="P55" s="278"/>
    </row>
    <row r="56" spans="2:16">
      <c r="B56" s="145" t="str">
        <f t="shared" si="0"/>
        <v/>
      </c>
      <c r="C56" s="495">
        <f>IF(D11="","-",+C55+1)</f>
        <v>2057</v>
      </c>
      <c r="D56" s="508">
        <f>IF(F55+SUM(E$17:E55)=D$10,F55,D$10-SUM(E$17:E55))</f>
        <v>0</v>
      </c>
      <c r="E56" s="509">
        <f t="shared" si="7"/>
        <v>0</v>
      </c>
      <c r="F56" s="510">
        <f t="shared" si="8"/>
        <v>0</v>
      </c>
      <c r="G56" s="511">
        <f t="shared" si="9"/>
        <v>0</v>
      </c>
      <c r="H56" s="477">
        <f t="shared" si="10"/>
        <v>0</v>
      </c>
      <c r="I56" s="500">
        <f t="shared" si="1"/>
        <v>0</v>
      </c>
      <c r="J56" s="500"/>
      <c r="K56" s="512"/>
      <c r="L56" s="504">
        <f t="shared" si="2"/>
        <v>0</v>
      </c>
      <c r="M56" s="512"/>
      <c r="N56" s="504">
        <f t="shared" si="3"/>
        <v>0</v>
      </c>
      <c r="O56" s="504">
        <f t="shared" si="4"/>
        <v>0</v>
      </c>
      <c r="P56" s="278"/>
    </row>
    <row r="57" spans="2:16">
      <c r="B57" s="145" t="str">
        <f t="shared" si="0"/>
        <v/>
      </c>
      <c r="C57" s="495">
        <f>IF(D11="","-",+C56+1)</f>
        <v>2058</v>
      </c>
      <c r="D57" s="508">
        <f>IF(F56+SUM(E$17:E56)=D$10,F56,D$10-SUM(E$17:E56))</f>
        <v>0</v>
      </c>
      <c r="E57" s="509">
        <f t="shared" si="7"/>
        <v>0</v>
      </c>
      <c r="F57" s="510">
        <f t="shared" si="8"/>
        <v>0</v>
      </c>
      <c r="G57" s="511">
        <f t="shared" si="9"/>
        <v>0</v>
      </c>
      <c r="H57" s="477">
        <f t="shared" si="10"/>
        <v>0</v>
      </c>
      <c r="I57" s="500">
        <f t="shared" si="1"/>
        <v>0</v>
      </c>
      <c r="J57" s="500"/>
      <c r="K57" s="512"/>
      <c r="L57" s="504">
        <f t="shared" si="2"/>
        <v>0</v>
      </c>
      <c r="M57" s="512"/>
      <c r="N57" s="504">
        <f t="shared" si="3"/>
        <v>0</v>
      </c>
      <c r="O57" s="504">
        <f t="shared" si="4"/>
        <v>0</v>
      </c>
      <c r="P57" s="278"/>
    </row>
    <row r="58" spans="2:16">
      <c r="B58" s="145" t="str">
        <f t="shared" si="0"/>
        <v/>
      </c>
      <c r="C58" s="495">
        <f>IF(D11="","-",+C57+1)</f>
        <v>2059</v>
      </c>
      <c r="D58" s="508">
        <f>IF(F57+SUM(E$17:E57)=D$10,F57,D$10-SUM(E$17:E57))</f>
        <v>0</v>
      </c>
      <c r="E58" s="509">
        <f t="shared" si="7"/>
        <v>0</v>
      </c>
      <c r="F58" s="510">
        <f t="shared" si="8"/>
        <v>0</v>
      </c>
      <c r="G58" s="511">
        <f t="shared" si="9"/>
        <v>0</v>
      </c>
      <c r="H58" s="477">
        <f t="shared" si="10"/>
        <v>0</v>
      </c>
      <c r="I58" s="500">
        <f t="shared" si="1"/>
        <v>0</v>
      </c>
      <c r="J58" s="500"/>
      <c r="K58" s="512"/>
      <c r="L58" s="504">
        <f t="shared" si="2"/>
        <v>0</v>
      </c>
      <c r="M58" s="512"/>
      <c r="N58" s="504">
        <f t="shared" si="3"/>
        <v>0</v>
      </c>
      <c r="O58" s="504">
        <f t="shared" si="4"/>
        <v>0</v>
      </c>
      <c r="P58" s="278"/>
    </row>
    <row r="59" spans="2:16">
      <c r="B59" s="145" t="str">
        <f t="shared" si="0"/>
        <v/>
      </c>
      <c r="C59" s="495">
        <f>IF(D11="","-",+C58+1)</f>
        <v>2060</v>
      </c>
      <c r="D59" s="508">
        <f>IF(F58+SUM(E$17:E58)=D$10,F58,D$10-SUM(E$17:E58))</f>
        <v>0</v>
      </c>
      <c r="E59" s="509">
        <f t="shared" si="7"/>
        <v>0</v>
      </c>
      <c r="F59" s="510">
        <f t="shared" si="8"/>
        <v>0</v>
      </c>
      <c r="G59" s="511">
        <f t="shared" si="9"/>
        <v>0</v>
      </c>
      <c r="H59" s="477">
        <f t="shared" si="10"/>
        <v>0</v>
      </c>
      <c r="I59" s="500">
        <f t="shared" si="1"/>
        <v>0</v>
      </c>
      <c r="J59" s="500"/>
      <c r="K59" s="512"/>
      <c r="L59" s="504">
        <f t="shared" si="2"/>
        <v>0</v>
      </c>
      <c r="M59" s="512"/>
      <c r="N59" s="504">
        <f t="shared" si="3"/>
        <v>0</v>
      </c>
      <c r="O59" s="504">
        <f t="shared" si="4"/>
        <v>0</v>
      </c>
      <c r="P59" s="278"/>
    </row>
    <row r="60" spans="2:16">
      <c r="B60" s="145" t="str">
        <f t="shared" si="0"/>
        <v/>
      </c>
      <c r="C60" s="495">
        <f>IF(D11="","-",+C59+1)</f>
        <v>2061</v>
      </c>
      <c r="D60" s="508">
        <f>IF(F59+SUM(E$17:E59)=D$10,F59,D$10-SUM(E$17:E59))</f>
        <v>0</v>
      </c>
      <c r="E60" s="509">
        <f t="shared" si="7"/>
        <v>0</v>
      </c>
      <c r="F60" s="510">
        <f t="shared" si="8"/>
        <v>0</v>
      </c>
      <c r="G60" s="511">
        <f t="shared" si="9"/>
        <v>0</v>
      </c>
      <c r="H60" s="477">
        <f t="shared" si="10"/>
        <v>0</v>
      </c>
      <c r="I60" s="500">
        <f t="shared" si="1"/>
        <v>0</v>
      </c>
      <c r="J60" s="500"/>
      <c r="K60" s="512"/>
      <c r="L60" s="504">
        <f t="shared" si="2"/>
        <v>0</v>
      </c>
      <c r="M60" s="512"/>
      <c r="N60" s="504">
        <f t="shared" si="3"/>
        <v>0</v>
      </c>
      <c r="O60" s="504">
        <f t="shared" si="4"/>
        <v>0</v>
      </c>
      <c r="P60" s="278"/>
    </row>
    <row r="61" spans="2:16">
      <c r="B61" s="145" t="str">
        <f t="shared" si="0"/>
        <v/>
      </c>
      <c r="C61" s="495">
        <f>IF(D11="","-",+C60+1)</f>
        <v>2062</v>
      </c>
      <c r="D61" s="508">
        <f>IF(F60+SUM(E$17:E60)=D$10,F60,D$10-SUM(E$17:E60))</f>
        <v>0</v>
      </c>
      <c r="E61" s="509">
        <f t="shared" si="7"/>
        <v>0</v>
      </c>
      <c r="F61" s="510">
        <f t="shared" si="8"/>
        <v>0</v>
      </c>
      <c r="G61" s="523">
        <f t="shared" si="9"/>
        <v>0</v>
      </c>
      <c r="H61" s="477">
        <f t="shared" si="10"/>
        <v>0</v>
      </c>
      <c r="I61" s="500">
        <f t="shared" si="1"/>
        <v>0</v>
      </c>
      <c r="J61" s="500"/>
      <c r="K61" s="512"/>
      <c r="L61" s="504">
        <f t="shared" si="2"/>
        <v>0</v>
      </c>
      <c r="M61" s="512"/>
      <c r="N61" s="504">
        <f t="shared" si="3"/>
        <v>0</v>
      </c>
      <c r="O61" s="504">
        <f t="shared" si="4"/>
        <v>0</v>
      </c>
      <c r="P61" s="278"/>
    </row>
    <row r="62" spans="2:16">
      <c r="B62" s="145" t="str">
        <f t="shared" si="0"/>
        <v/>
      </c>
      <c r="C62" s="495">
        <f>IF(D11="","-",+C61+1)</f>
        <v>2063</v>
      </c>
      <c r="D62" s="508">
        <f>IF(F61+SUM(E$17:E61)=D$10,F61,D$10-SUM(E$17:E61))</f>
        <v>0</v>
      </c>
      <c r="E62" s="509">
        <f t="shared" si="7"/>
        <v>0</v>
      </c>
      <c r="F62" s="510">
        <f t="shared" si="8"/>
        <v>0</v>
      </c>
      <c r="G62" s="523">
        <f t="shared" si="9"/>
        <v>0</v>
      </c>
      <c r="H62" s="477">
        <f t="shared" si="10"/>
        <v>0</v>
      </c>
      <c r="I62" s="500">
        <f t="shared" si="1"/>
        <v>0</v>
      </c>
      <c r="J62" s="500"/>
      <c r="K62" s="512"/>
      <c r="L62" s="504">
        <f t="shared" si="2"/>
        <v>0</v>
      </c>
      <c r="M62" s="512"/>
      <c r="N62" s="504">
        <f t="shared" si="3"/>
        <v>0</v>
      </c>
      <c r="O62" s="504">
        <f t="shared" si="4"/>
        <v>0</v>
      </c>
      <c r="P62" s="278"/>
    </row>
    <row r="63" spans="2:16">
      <c r="B63" s="145" t="str">
        <f t="shared" si="0"/>
        <v/>
      </c>
      <c r="C63" s="495">
        <f>IF(D11="","-",+C62+1)</f>
        <v>2064</v>
      </c>
      <c r="D63" s="508">
        <f>IF(F62+SUM(E$17:E62)=D$10,F62,D$10-SUM(E$17:E62))</f>
        <v>0</v>
      </c>
      <c r="E63" s="509">
        <f t="shared" si="7"/>
        <v>0</v>
      </c>
      <c r="F63" s="510">
        <f t="shared" si="8"/>
        <v>0</v>
      </c>
      <c r="G63" s="523">
        <f t="shared" si="9"/>
        <v>0</v>
      </c>
      <c r="H63" s="477">
        <f t="shared" si="10"/>
        <v>0</v>
      </c>
      <c r="I63" s="500">
        <f t="shared" si="1"/>
        <v>0</v>
      </c>
      <c r="J63" s="500"/>
      <c r="K63" s="512"/>
      <c r="L63" s="504">
        <f t="shared" si="2"/>
        <v>0</v>
      </c>
      <c r="M63" s="512"/>
      <c r="N63" s="504">
        <f t="shared" si="3"/>
        <v>0</v>
      </c>
      <c r="O63" s="504">
        <f t="shared" si="4"/>
        <v>0</v>
      </c>
      <c r="P63" s="278"/>
    </row>
    <row r="64" spans="2:16">
      <c r="B64" s="145" t="str">
        <f t="shared" si="0"/>
        <v/>
      </c>
      <c r="C64" s="495">
        <f>IF(D11="","-",+C63+1)</f>
        <v>2065</v>
      </c>
      <c r="D64" s="508">
        <f>IF(F63+SUM(E$17:E63)=D$10,F63,D$10-SUM(E$17:E63))</f>
        <v>0</v>
      </c>
      <c r="E64" s="509">
        <f t="shared" si="7"/>
        <v>0</v>
      </c>
      <c r="F64" s="510">
        <f t="shared" si="8"/>
        <v>0</v>
      </c>
      <c r="G64" s="523">
        <f t="shared" si="9"/>
        <v>0</v>
      </c>
      <c r="H64" s="477">
        <f t="shared" si="10"/>
        <v>0</v>
      </c>
      <c r="I64" s="500">
        <f t="shared" si="1"/>
        <v>0</v>
      </c>
      <c r="J64" s="500"/>
      <c r="K64" s="512"/>
      <c r="L64" s="504">
        <f t="shared" si="2"/>
        <v>0</v>
      </c>
      <c r="M64" s="512"/>
      <c r="N64" s="504">
        <f t="shared" si="3"/>
        <v>0</v>
      </c>
      <c r="O64" s="504">
        <f t="shared" si="4"/>
        <v>0</v>
      </c>
      <c r="P64" s="278"/>
    </row>
    <row r="65" spans="2:16">
      <c r="B65" s="145" t="str">
        <f t="shared" si="0"/>
        <v/>
      </c>
      <c r="C65" s="495">
        <f>IF(D11="","-",+C64+1)</f>
        <v>2066</v>
      </c>
      <c r="D65" s="508">
        <f>IF(F64+SUM(E$17:E64)=D$10,F64,D$10-SUM(E$17:E64))</f>
        <v>0</v>
      </c>
      <c r="E65" s="509">
        <f t="shared" si="7"/>
        <v>0</v>
      </c>
      <c r="F65" s="510">
        <f t="shared" si="8"/>
        <v>0</v>
      </c>
      <c r="G65" s="523">
        <f t="shared" si="9"/>
        <v>0</v>
      </c>
      <c r="H65" s="477">
        <f t="shared" si="10"/>
        <v>0</v>
      </c>
      <c r="I65" s="500">
        <f t="shared" si="1"/>
        <v>0</v>
      </c>
      <c r="J65" s="500"/>
      <c r="K65" s="512"/>
      <c r="L65" s="504">
        <f t="shared" si="2"/>
        <v>0</v>
      </c>
      <c r="M65" s="512"/>
      <c r="N65" s="504">
        <f t="shared" si="3"/>
        <v>0</v>
      </c>
      <c r="O65" s="504">
        <f t="shared" si="4"/>
        <v>0</v>
      </c>
      <c r="P65" s="278"/>
    </row>
    <row r="66" spans="2:16">
      <c r="B66" s="145" t="str">
        <f t="shared" si="0"/>
        <v/>
      </c>
      <c r="C66" s="495">
        <f>IF(D11="","-",+C65+1)</f>
        <v>2067</v>
      </c>
      <c r="D66" s="508">
        <f>IF(F65+SUM(E$17:E65)=D$10,F65,D$10-SUM(E$17:E65))</f>
        <v>0</v>
      </c>
      <c r="E66" s="509">
        <f t="shared" si="7"/>
        <v>0</v>
      </c>
      <c r="F66" s="510">
        <f t="shared" si="8"/>
        <v>0</v>
      </c>
      <c r="G66" s="523">
        <f t="shared" si="9"/>
        <v>0</v>
      </c>
      <c r="H66" s="477">
        <f t="shared" si="10"/>
        <v>0</v>
      </c>
      <c r="I66" s="500">
        <f t="shared" si="1"/>
        <v>0</v>
      </c>
      <c r="J66" s="500"/>
      <c r="K66" s="512"/>
      <c r="L66" s="504">
        <f t="shared" si="2"/>
        <v>0</v>
      </c>
      <c r="M66" s="512"/>
      <c r="N66" s="504">
        <f t="shared" si="3"/>
        <v>0</v>
      </c>
      <c r="O66" s="504">
        <f t="shared" si="4"/>
        <v>0</v>
      </c>
      <c r="P66" s="278"/>
    </row>
    <row r="67" spans="2:16">
      <c r="B67" s="145" t="str">
        <f t="shared" si="0"/>
        <v/>
      </c>
      <c r="C67" s="495">
        <f>IF(D11="","-",+C66+1)</f>
        <v>2068</v>
      </c>
      <c r="D67" s="508">
        <f>IF(F66+SUM(E$17:E66)=D$10,F66,D$10-SUM(E$17:E66))</f>
        <v>0</v>
      </c>
      <c r="E67" s="509">
        <f t="shared" si="7"/>
        <v>0</v>
      </c>
      <c r="F67" s="510">
        <f t="shared" si="8"/>
        <v>0</v>
      </c>
      <c r="G67" s="523">
        <f t="shared" si="9"/>
        <v>0</v>
      </c>
      <c r="H67" s="477">
        <f t="shared" si="10"/>
        <v>0</v>
      </c>
      <c r="I67" s="500">
        <f t="shared" si="1"/>
        <v>0</v>
      </c>
      <c r="J67" s="500"/>
      <c r="K67" s="512"/>
      <c r="L67" s="504">
        <f t="shared" si="2"/>
        <v>0</v>
      </c>
      <c r="M67" s="512"/>
      <c r="N67" s="504">
        <f t="shared" si="3"/>
        <v>0</v>
      </c>
      <c r="O67" s="504">
        <f t="shared" si="4"/>
        <v>0</v>
      </c>
      <c r="P67" s="278"/>
    </row>
    <row r="68" spans="2:16">
      <c r="B68" s="145" t="str">
        <f t="shared" si="0"/>
        <v/>
      </c>
      <c r="C68" s="495">
        <f>IF(D11="","-",+C67+1)</f>
        <v>2069</v>
      </c>
      <c r="D68" s="508">
        <f>IF(F67+SUM(E$17:E67)=D$10,F67,D$10-SUM(E$17:E67))</f>
        <v>0</v>
      </c>
      <c r="E68" s="509">
        <f t="shared" si="7"/>
        <v>0</v>
      </c>
      <c r="F68" s="510">
        <f t="shared" si="8"/>
        <v>0</v>
      </c>
      <c r="G68" s="523">
        <f t="shared" si="9"/>
        <v>0</v>
      </c>
      <c r="H68" s="477">
        <f t="shared" si="10"/>
        <v>0</v>
      </c>
      <c r="I68" s="500">
        <f t="shared" si="1"/>
        <v>0</v>
      </c>
      <c r="J68" s="500"/>
      <c r="K68" s="512"/>
      <c r="L68" s="504">
        <f t="shared" si="2"/>
        <v>0</v>
      </c>
      <c r="M68" s="512"/>
      <c r="N68" s="504">
        <f t="shared" si="3"/>
        <v>0</v>
      </c>
      <c r="O68" s="504">
        <f t="shared" si="4"/>
        <v>0</v>
      </c>
      <c r="P68" s="278"/>
    </row>
    <row r="69" spans="2:16">
      <c r="B69" s="145" t="str">
        <f t="shared" si="0"/>
        <v/>
      </c>
      <c r="C69" s="495">
        <f>IF(D11="","-",+C68+1)</f>
        <v>2070</v>
      </c>
      <c r="D69" s="508">
        <f>IF(F68+SUM(E$17:E68)=D$10,F68,D$10-SUM(E$17:E68))</f>
        <v>0</v>
      </c>
      <c r="E69" s="509">
        <f t="shared" si="7"/>
        <v>0</v>
      </c>
      <c r="F69" s="510">
        <f t="shared" si="8"/>
        <v>0</v>
      </c>
      <c r="G69" s="523">
        <f t="shared" si="9"/>
        <v>0</v>
      </c>
      <c r="H69" s="477">
        <f t="shared" si="10"/>
        <v>0</v>
      </c>
      <c r="I69" s="500">
        <f t="shared" si="1"/>
        <v>0</v>
      </c>
      <c r="J69" s="500"/>
      <c r="K69" s="512"/>
      <c r="L69" s="504">
        <f t="shared" si="2"/>
        <v>0</v>
      </c>
      <c r="M69" s="512"/>
      <c r="N69" s="504">
        <f t="shared" si="3"/>
        <v>0</v>
      </c>
      <c r="O69" s="504">
        <f t="shared" si="4"/>
        <v>0</v>
      </c>
      <c r="P69" s="278"/>
    </row>
    <row r="70" spans="2:16">
      <c r="B70" s="145" t="str">
        <f t="shared" si="0"/>
        <v/>
      </c>
      <c r="C70" s="495">
        <f>IF(D11="","-",+C69+1)</f>
        <v>2071</v>
      </c>
      <c r="D70" s="508">
        <f>IF(F69+SUM(E$17:E69)=D$10,F69,D$10-SUM(E$17:E69))</f>
        <v>0</v>
      </c>
      <c r="E70" s="509">
        <f t="shared" si="7"/>
        <v>0</v>
      </c>
      <c r="F70" s="510">
        <f t="shared" si="8"/>
        <v>0</v>
      </c>
      <c r="G70" s="523">
        <f t="shared" si="9"/>
        <v>0</v>
      </c>
      <c r="H70" s="477">
        <f t="shared" si="10"/>
        <v>0</v>
      </c>
      <c r="I70" s="500">
        <f t="shared" si="1"/>
        <v>0</v>
      </c>
      <c r="J70" s="500"/>
      <c r="K70" s="512"/>
      <c r="L70" s="504">
        <f t="shared" si="2"/>
        <v>0</v>
      </c>
      <c r="M70" s="512"/>
      <c r="N70" s="504">
        <f t="shared" si="3"/>
        <v>0</v>
      </c>
      <c r="O70" s="504">
        <f t="shared" si="4"/>
        <v>0</v>
      </c>
      <c r="P70" s="278"/>
    </row>
    <row r="71" spans="2:16">
      <c r="B71" s="145" t="str">
        <f t="shared" si="0"/>
        <v/>
      </c>
      <c r="C71" s="495">
        <f>IF(D11="","-",+C70+1)</f>
        <v>2072</v>
      </c>
      <c r="D71" s="508">
        <f>IF(F70+SUM(E$17:E70)=D$10,F70,D$10-SUM(E$17:E70))</f>
        <v>0</v>
      </c>
      <c r="E71" s="509">
        <f t="shared" si="7"/>
        <v>0</v>
      </c>
      <c r="F71" s="510">
        <f t="shared" si="8"/>
        <v>0</v>
      </c>
      <c r="G71" s="523">
        <f t="shared" si="9"/>
        <v>0</v>
      </c>
      <c r="H71" s="477">
        <f t="shared" si="10"/>
        <v>0</v>
      </c>
      <c r="I71" s="500">
        <f t="shared" si="1"/>
        <v>0</v>
      </c>
      <c r="J71" s="500"/>
      <c r="K71" s="512"/>
      <c r="L71" s="504">
        <f t="shared" si="2"/>
        <v>0</v>
      </c>
      <c r="M71" s="512"/>
      <c r="N71" s="504">
        <f t="shared" si="3"/>
        <v>0</v>
      </c>
      <c r="O71" s="504">
        <f t="shared" si="4"/>
        <v>0</v>
      </c>
      <c r="P71" s="278"/>
    </row>
    <row r="72" spans="2:16">
      <c r="C72" s="495">
        <f>IF(D12="","-",+C71+1)</f>
        <v>2073</v>
      </c>
      <c r="D72" s="508">
        <f>IF(F71+SUM(E$17:E71)=D$10,F71,D$10-SUM(E$17:E71))</f>
        <v>0</v>
      </c>
      <c r="E72" s="509">
        <f>IF(+I$14&lt;F71,I$14,D72)</f>
        <v>0</v>
      </c>
      <c r="F72" s="510">
        <f>+D72-E72</f>
        <v>0</v>
      </c>
      <c r="G72" s="523">
        <f>(D72+F72)/2*I$12+E72</f>
        <v>0</v>
      </c>
      <c r="H72" s="477">
        <f>+(D72+F72)/2*I$13+E72</f>
        <v>0</v>
      </c>
      <c r="I72" s="500">
        <f>H72-G72</f>
        <v>0</v>
      </c>
      <c r="J72" s="500"/>
      <c r="K72" s="512"/>
      <c r="L72" s="504">
        <f>IF(K72&lt;&gt;0,+G72-K72,0)</f>
        <v>0</v>
      </c>
      <c r="M72" s="512"/>
      <c r="N72" s="504">
        <f>IF(M72&lt;&gt;0,+H72-M72,0)</f>
        <v>0</v>
      </c>
      <c r="O72" s="504">
        <f>+N72-L72</f>
        <v>0</v>
      </c>
      <c r="P72" s="278"/>
    </row>
    <row r="73" spans="2:16" ht="13.5" thickBot="1">
      <c r="B73" s="145" t="str">
        <f>IF(D73=F71,"","IU")</f>
        <v/>
      </c>
      <c r="C73" s="524">
        <f>IF(D13="","-",+C72+1)</f>
        <v>2074</v>
      </c>
      <c r="D73" s="526">
        <f>IF(F72+SUM(E$17:E72)=D$10,F72,D$10-SUM(E$17:E72))</f>
        <v>0</v>
      </c>
      <c r="E73" s="526">
        <f>IF(+I$14&lt;F72,I$14,D73)</f>
        <v>0</v>
      </c>
      <c r="F73" s="527">
        <f>+D73-E73</f>
        <v>0</v>
      </c>
      <c r="G73" s="528">
        <f>(D73+F73)/2*I$12+E73</f>
        <v>0</v>
      </c>
      <c r="H73" s="458">
        <f>+(D73+F73)/2*I$13+E73</f>
        <v>0</v>
      </c>
      <c r="I73" s="529">
        <f>H73-G73</f>
        <v>0</v>
      </c>
      <c r="J73" s="500"/>
      <c r="K73" s="530"/>
      <c r="L73" s="531">
        <f>IF(K73&lt;&gt;0,+G73-K73,0)</f>
        <v>0</v>
      </c>
      <c r="M73" s="530"/>
      <c r="N73" s="531">
        <f>IF(M73&lt;&gt;0,+H73-M73,0)</f>
        <v>0</v>
      </c>
      <c r="O73" s="531">
        <f>+N73-L73</f>
        <v>0</v>
      </c>
      <c r="P73" s="278"/>
    </row>
    <row r="74" spans="2:16">
      <c r="C74" s="349" t="s">
        <v>75</v>
      </c>
      <c r="D74" s="294"/>
      <c r="E74" s="294">
        <f>SUM(E17:E73)</f>
        <v>17093291</v>
      </c>
      <c r="F74" s="294"/>
      <c r="G74" s="294">
        <f>SUM(G17:G73)</f>
        <v>50121662.154311404</v>
      </c>
      <c r="H74" s="294">
        <f>SUM(H17:H73)</f>
        <v>50121662.154311404</v>
      </c>
      <c r="I74" s="294">
        <f>SUM(I17:I73)</f>
        <v>0</v>
      </c>
      <c r="J74" s="294"/>
      <c r="K74" s="294"/>
      <c r="L74" s="294"/>
      <c r="M74" s="294"/>
      <c r="N74" s="294"/>
      <c r="O74" s="278"/>
      <c r="P74" s="278"/>
    </row>
    <row r="75" spans="2:16">
      <c r="D75" s="292"/>
      <c r="E75" s="243"/>
      <c r="F75" s="243"/>
      <c r="G75" s="243"/>
      <c r="H75" s="325"/>
      <c r="I75" s="325"/>
      <c r="J75" s="294"/>
      <c r="K75" s="325"/>
      <c r="L75" s="325"/>
      <c r="M75" s="325"/>
      <c r="N75" s="325"/>
      <c r="O75" s="243"/>
      <c r="P75" s="243"/>
    </row>
    <row r="76" spans="2:16">
      <c r="C76" s="532" t="s">
        <v>95</v>
      </c>
      <c r="D76" s="292"/>
      <c r="E76" s="243"/>
      <c r="F76" s="243"/>
      <c r="G76" s="243"/>
      <c r="H76" s="325"/>
      <c r="I76" s="325"/>
      <c r="J76" s="294"/>
      <c r="K76" s="325"/>
      <c r="L76" s="325"/>
      <c r="M76" s="325"/>
      <c r="N76" s="325"/>
      <c r="O76" s="243"/>
      <c r="P76" s="243"/>
    </row>
    <row r="77" spans="2:16">
      <c r="C77" s="454" t="s">
        <v>76</v>
      </c>
      <c r="D77" s="292"/>
      <c r="E77" s="243"/>
      <c r="F77" s="243"/>
      <c r="G77" s="243"/>
      <c r="H77" s="325"/>
      <c r="I77" s="325"/>
      <c r="J77" s="294"/>
      <c r="K77" s="325"/>
      <c r="L77" s="325"/>
      <c r="M77" s="325"/>
      <c r="N77" s="325"/>
      <c r="O77" s="278"/>
      <c r="P77" s="278"/>
    </row>
    <row r="78" spans="2:16">
      <c r="C78" s="454" t="s">
        <v>77</v>
      </c>
      <c r="D78" s="349"/>
      <c r="E78" s="349"/>
      <c r="F78" s="349"/>
      <c r="G78" s="294"/>
      <c r="H78" s="294"/>
      <c r="I78" s="350"/>
      <c r="J78" s="350"/>
      <c r="K78" s="350"/>
      <c r="L78" s="350"/>
      <c r="M78" s="350"/>
      <c r="N78" s="350"/>
      <c r="O78" s="278"/>
      <c r="P78" s="278"/>
    </row>
    <row r="79" spans="2:16">
      <c r="C79" s="454"/>
      <c r="D79" s="349"/>
      <c r="E79" s="349"/>
      <c r="F79" s="349"/>
      <c r="G79" s="294"/>
      <c r="H79" s="294"/>
      <c r="I79" s="350"/>
      <c r="J79" s="350"/>
      <c r="K79" s="350"/>
      <c r="L79" s="350"/>
      <c r="M79" s="350"/>
      <c r="N79" s="350"/>
      <c r="O79" s="278"/>
      <c r="P79" s="243"/>
    </row>
    <row r="80" spans="2:16">
      <c r="B80" s="243"/>
      <c r="C80" s="248"/>
      <c r="D80" s="292"/>
      <c r="E80" s="243"/>
      <c r="F80" s="347"/>
      <c r="G80" s="243"/>
      <c r="H80" s="325"/>
      <c r="I80" s="243"/>
      <c r="J80" s="278"/>
      <c r="K80" s="243"/>
      <c r="L80" s="243"/>
      <c r="M80" s="243"/>
      <c r="N80" s="243"/>
      <c r="O80" s="243"/>
      <c r="P80" s="243"/>
    </row>
    <row r="81" spans="1:16" ht="18">
      <c r="B81" s="243"/>
      <c r="C81" s="535"/>
      <c r="D81" s="292"/>
      <c r="E81" s="243"/>
      <c r="F81" s="347"/>
      <c r="G81" s="243"/>
      <c r="H81" s="325"/>
      <c r="I81" s="243"/>
      <c r="J81" s="278"/>
      <c r="K81" s="243"/>
      <c r="L81" s="243"/>
      <c r="M81" s="243"/>
      <c r="N81" s="243"/>
      <c r="P81" s="536" t="s">
        <v>128</v>
      </c>
    </row>
    <row r="82" spans="1:16">
      <c r="B82" s="243"/>
      <c r="C82" s="248"/>
      <c r="D82" s="292"/>
      <c r="E82" s="243"/>
      <c r="F82" s="347"/>
      <c r="G82" s="243"/>
      <c r="H82" s="325"/>
      <c r="I82" s="243"/>
      <c r="J82" s="278"/>
      <c r="K82" s="243"/>
      <c r="L82" s="243"/>
      <c r="M82" s="243"/>
      <c r="N82" s="243"/>
      <c r="O82" s="243"/>
      <c r="P82" s="243"/>
    </row>
    <row r="83" spans="1:16">
      <c r="B83" s="243"/>
      <c r="C83" s="248"/>
      <c r="D83" s="292"/>
      <c r="E83" s="243"/>
      <c r="F83" s="347"/>
      <c r="G83" s="243"/>
      <c r="H83" s="325"/>
      <c r="I83" s="243"/>
      <c r="J83" s="278"/>
      <c r="K83" s="243"/>
      <c r="L83" s="243"/>
      <c r="M83" s="243"/>
      <c r="N83" s="243"/>
      <c r="O83" s="243"/>
      <c r="P83" s="243"/>
    </row>
    <row r="84" spans="1:16" ht="20.25">
      <c r="A84" s="437" t="s">
        <v>190</v>
      </c>
      <c r="B84" s="243"/>
      <c r="C84" s="248"/>
      <c r="D84" s="292"/>
      <c r="E84" s="243"/>
      <c r="F84" s="339"/>
      <c r="G84" s="339"/>
      <c r="H84" s="243"/>
      <c r="I84" s="325"/>
      <c r="K84" s="220"/>
      <c r="L84" s="438"/>
      <c r="M84" s="438"/>
      <c r="P84" s="438" t="str">
        <f ca="1">P1</f>
        <v>OKT Project 18 of 23</v>
      </c>
    </row>
    <row r="85" spans="1:16" ht="18">
      <c r="B85" s="243"/>
      <c r="C85" s="243"/>
      <c r="D85" s="292"/>
      <c r="E85" s="243"/>
      <c r="F85" s="243"/>
      <c r="G85" s="243"/>
      <c r="H85" s="243"/>
      <c r="I85" s="325"/>
      <c r="J85" s="243"/>
      <c r="K85" s="278"/>
      <c r="L85" s="243"/>
      <c r="M85" s="243"/>
      <c r="P85" s="441" t="s">
        <v>132</v>
      </c>
    </row>
    <row r="86" spans="1:16" ht="18.75" thickBot="1">
      <c r="B86" s="233" t="s">
        <v>42</v>
      </c>
      <c r="C86" s="537" t="s">
        <v>81</v>
      </c>
      <c r="D86" s="292"/>
      <c r="E86" s="243"/>
      <c r="F86" s="243"/>
      <c r="G86" s="243"/>
      <c r="H86" s="243"/>
      <c r="I86" s="325"/>
      <c r="J86" s="325"/>
      <c r="K86" s="294"/>
      <c r="L86" s="325"/>
      <c r="M86" s="325"/>
      <c r="N86" s="325"/>
      <c r="O86" s="294"/>
      <c r="P86" s="243"/>
    </row>
    <row r="87" spans="1:16" ht="15.75" thickBot="1">
      <c r="C87" s="304"/>
      <c r="D87" s="292"/>
      <c r="E87" s="243"/>
      <c r="F87" s="243"/>
      <c r="G87" s="243"/>
      <c r="H87" s="243"/>
      <c r="I87" s="325"/>
      <c r="J87" s="325"/>
      <c r="K87" s="294"/>
      <c r="L87" s="538">
        <f>+J93</f>
        <v>2020</v>
      </c>
      <c r="M87" s="539" t="s">
        <v>9</v>
      </c>
      <c r="N87" s="540" t="s">
        <v>134</v>
      </c>
      <c r="O87" s="541" t="s">
        <v>11</v>
      </c>
      <c r="P87" s="243"/>
    </row>
    <row r="88" spans="1:16" ht="15">
      <c r="C88" s="232" t="s">
        <v>44</v>
      </c>
      <c r="D88" s="292"/>
      <c r="E88" s="243"/>
      <c r="F88" s="243"/>
      <c r="G88" s="243"/>
      <c r="H88" s="444"/>
      <c r="I88" s="243" t="s">
        <v>45</v>
      </c>
      <c r="J88" s="243"/>
      <c r="K88" s="542"/>
      <c r="L88" s="543" t="s">
        <v>253</v>
      </c>
      <c r="M88" s="544">
        <f>IF(J93&lt;D11,0,VLOOKUP(J93,C17:O73,9))</f>
        <v>2056569.1179354885</v>
      </c>
      <c r="N88" s="544">
        <f>IF(J93&lt;D11,0,VLOOKUP(J93,C17:O73,11))</f>
        <v>2056569.1179354885</v>
      </c>
      <c r="O88" s="545">
        <f>+N88-M88</f>
        <v>0</v>
      </c>
      <c r="P88" s="243"/>
    </row>
    <row r="89" spans="1:16" ht="15.75">
      <c r="C89" s="235"/>
      <c r="D89" s="292"/>
      <c r="E89" s="243"/>
      <c r="F89" s="243"/>
      <c r="G89" s="243"/>
      <c r="H89" s="243"/>
      <c r="I89" s="449"/>
      <c r="J89" s="449"/>
      <c r="K89" s="546"/>
      <c r="L89" s="547" t="s">
        <v>254</v>
      </c>
      <c r="M89" s="548">
        <f>IF(J93&lt;D11,0,VLOOKUP(J93,C100:P155,6))</f>
        <v>2295454.5775651671</v>
      </c>
      <c r="N89" s="548">
        <f>IF(J93&lt;D11,0,VLOOKUP(J93,C100:P155,7))</f>
        <v>2295454.5775651671</v>
      </c>
      <c r="O89" s="549">
        <f>+N89-M89</f>
        <v>0</v>
      </c>
      <c r="P89" s="243"/>
    </row>
    <row r="90" spans="1:16" ht="13.5" thickBot="1">
      <c r="C90" s="454" t="s">
        <v>82</v>
      </c>
      <c r="D90" s="550" t="str">
        <f>+D7</f>
        <v>Fort Towson-Valliant 69 KV Line Rebuild</v>
      </c>
      <c r="E90" s="243"/>
      <c r="F90" s="243"/>
      <c r="G90" s="243"/>
      <c r="H90" s="243"/>
      <c r="I90" s="325"/>
      <c r="J90" s="325"/>
      <c r="K90" s="551"/>
      <c r="L90" s="552" t="s">
        <v>135</v>
      </c>
      <c r="M90" s="553">
        <f>+M89-M88</f>
        <v>238885.45962967863</v>
      </c>
      <c r="N90" s="553">
        <f>+N89-N88</f>
        <v>238885.45962967863</v>
      </c>
      <c r="O90" s="554">
        <f>+O89-O88</f>
        <v>0</v>
      </c>
      <c r="P90" s="243"/>
    </row>
    <row r="91" spans="1:16" ht="13.5" thickBot="1">
      <c r="C91" s="532"/>
      <c r="D91" s="555" t="str">
        <f>IF(D8="","",D8)</f>
        <v/>
      </c>
      <c r="E91" s="347"/>
      <c r="F91" s="347"/>
      <c r="G91" s="347"/>
      <c r="H91" s="461"/>
      <c r="I91" s="325"/>
      <c r="J91" s="325"/>
      <c r="K91" s="294"/>
      <c r="L91" s="325"/>
      <c r="M91" s="325"/>
      <c r="N91" s="325"/>
      <c r="O91" s="294"/>
      <c r="P91" s="243"/>
    </row>
    <row r="92" spans="1:16" ht="13.5" thickBot="1">
      <c r="A92" s="152"/>
      <c r="C92" s="556" t="s">
        <v>83</v>
      </c>
      <c r="D92" s="557" t="str">
        <f>+D9</f>
        <v>TP2015204</v>
      </c>
      <c r="E92" s="558"/>
      <c r="F92" s="558"/>
      <c r="G92" s="558"/>
      <c r="H92" s="558"/>
      <c r="I92" s="558"/>
      <c r="J92" s="558"/>
      <c r="K92" s="560"/>
      <c r="P92" s="468"/>
    </row>
    <row r="93" spans="1:16">
      <c r="C93" s="472" t="s">
        <v>49</v>
      </c>
      <c r="D93" s="474">
        <v>17093280</v>
      </c>
      <c r="E93" s="248" t="s">
        <v>84</v>
      </c>
      <c r="H93" s="408"/>
      <c r="I93" s="408"/>
      <c r="J93" s="471">
        <f>+'OKT.WS.G.BPU.ATRR.True-up'!M16</f>
        <v>2020</v>
      </c>
      <c r="K93" s="467"/>
      <c r="L93" s="294" t="s">
        <v>85</v>
      </c>
      <c r="P93" s="278"/>
    </row>
    <row r="94" spans="1:16">
      <c r="C94" s="472" t="s">
        <v>52</v>
      </c>
      <c r="D94" s="561">
        <f>IF(D11="","",D11)</f>
        <v>2018</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row>
    <row r="95" spans="1:16">
      <c r="C95" s="472" t="s">
        <v>54</v>
      </c>
      <c r="D95" s="561">
        <f>IF(D12="","",D12)</f>
        <v>12</v>
      </c>
      <c r="E95" s="472" t="s">
        <v>55</v>
      </c>
      <c r="F95" s="408"/>
      <c r="G95" s="408"/>
      <c r="J95" s="476">
        <f>'OKT.WS.G.BPU.ATRR.True-up'!$F$81</f>
        <v>0.11475877389767174</v>
      </c>
      <c r="K95" s="413"/>
      <c r="L95" s="145" t="s">
        <v>86</v>
      </c>
      <c r="P95" s="278"/>
    </row>
    <row r="96" spans="1:16">
      <c r="C96" s="472" t="s">
        <v>57</v>
      </c>
      <c r="D96" s="474">
        <f>'OKT.WS.G.BPU.ATRR.True-up'!F$93</f>
        <v>21</v>
      </c>
      <c r="E96" s="472" t="s">
        <v>58</v>
      </c>
      <c r="F96" s="408"/>
      <c r="G96" s="408"/>
      <c r="J96" s="476">
        <f>IF(H88="",J95,'OKT.WS.G.BPU.ATRR.True-up'!$F$80)</f>
        <v>0.11475877389767174</v>
      </c>
      <c r="K96" s="291"/>
      <c r="L96" s="294" t="s">
        <v>59</v>
      </c>
      <c r="M96" s="291"/>
      <c r="N96" s="291"/>
      <c r="O96" s="291"/>
      <c r="P96" s="278"/>
    </row>
    <row r="97" spans="1:16" ht="13.5" thickBot="1">
      <c r="C97" s="472" t="s">
        <v>60</v>
      </c>
      <c r="D97" s="562" t="str">
        <f>+D14</f>
        <v>No</v>
      </c>
      <c r="E97" s="563" t="s">
        <v>62</v>
      </c>
      <c r="F97" s="564"/>
      <c r="G97" s="564"/>
      <c r="H97" s="565"/>
      <c r="I97" s="565"/>
      <c r="J97" s="458">
        <f>IF(D93=0,0,D93/D96)</f>
        <v>813965.71428571432</v>
      </c>
      <c r="K97" s="294"/>
      <c r="L97" s="294"/>
      <c r="M97" s="294"/>
      <c r="N97" s="294"/>
      <c r="O97" s="294"/>
      <c r="P97" s="278"/>
    </row>
    <row r="98" spans="1:16"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row>
    <row r="99" spans="1:16"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row>
    <row r="100" spans="1:16">
      <c r="B100" s="145" t="str">
        <f t="shared" ref="B100:B155" si="11">IF(D100=F99,"","IU")</f>
        <v>IU</v>
      </c>
      <c r="C100" s="495">
        <f>IF(D94= "","-",D94)</f>
        <v>2018</v>
      </c>
      <c r="D100" s="496">
        <v>15445577.166666666</v>
      </c>
      <c r="E100" s="498">
        <v>435826.05555555556</v>
      </c>
      <c r="F100" s="505">
        <v>15009751.11111111</v>
      </c>
      <c r="G100" s="505">
        <v>15227664.138888888</v>
      </c>
      <c r="H100" s="498">
        <v>2043295.5761149421</v>
      </c>
      <c r="I100" s="499">
        <v>2043295.5761149421</v>
      </c>
      <c r="J100" s="504">
        <f t="shared" ref="J100:J131" si="12">+I100-H100</f>
        <v>0</v>
      </c>
      <c r="K100" s="504"/>
      <c r="L100" s="506">
        <f>+H100</f>
        <v>2043295.5761149421</v>
      </c>
      <c r="M100" s="504">
        <f t="shared" ref="M100" si="13">IF(L100&lt;&gt;0,+H100-L100,0)</f>
        <v>0</v>
      </c>
      <c r="N100" s="506">
        <f>+I100</f>
        <v>2043295.5761149421</v>
      </c>
      <c r="O100" s="586">
        <f t="shared" ref="O100" si="14">IF(N100&lt;&gt;0,+I100-N100,0)</f>
        <v>0</v>
      </c>
      <c r="P100" s="504">
        <f t="shared" ref="P100" si="15">+O100-M100</f>
        <v>0</v>
      </c>
    </row>
    <row r="101" spans="1:16">
      <c r="B101" s="145" t="str">
        <f t="shared" si="11"/>
        <v>IU</v>
      </c>
      <c r="C101" s="495">
        <f>IF(D94="","-",+C100+1)</f>
        <v>2019</v>
      </c>
      <c r="D101" s="496">
        <v>16656350.944444444</v>
      </c>
      <c r="E101" s="498">
        <v>517944.75757575757</v>
      </c>
      <c r="F101" s="505">
        <v>16138406.186868686</v>
      </c>
      <c r="G101" s="505">
        <v>16397378.565656565</v>
      </c>
      <c r="H101" s="498">
        <v>2289012.9236645</v>
      </c>
      <c r="I101" s="499">
        <v>2289012.9236645</v>
      </c>
      <c r="J101" s="504">
        <f t="shared" si="12"/>
        <v>0</v>
      </c>
      <c r="K101" s="504"/>
      <c r="L101" s="506">
        <f>H101</f>
        <v>2289012.9236645</v>
      </c>
      <c r="M101" s="504">
        <f>IF(L101&lt;&gt;0,+H101-L101,0)</f>
        <v>0</v>
      </c>
      <c r="N101" s="506">
        <f>I101</f>
        <v>2289012.9236645</v>
      </c>
      <c r="O101" s="504">
        <f t="shared" ref="O101:O131" si="16">IF(N101&lt;&gt;0,+I101-N101,0)</f>
        <v>0</v>
      </c>
      <c r="P101" s="504">
        <f t="shared" ref="P101:P131" si="17">+O101-M101</f>
        <v>0</v>
      </c>
    </row>
    <row r="102" spans="1:16">
      <c r="B102" s="145" t="str">
        <f t="shared" si="11"/>
        <v>IU</v>
      </c>
      <c r="C102" s="495">
        <f>IF(D94="","-",+C101+1)</f>
        <v>2020</v>
      </c>
      <c r="D102" s="496">
        <v>16139509.186868686</v>
      </c>
      <c r="E102" s="498">
        <v>610474.28571428568</v>
      </c>
      <c r="F102" s="505">
        <v>15529034.901154401</v>
      </c>
      <c r="G102" s="505">
        <v>15834272.044011544</v>
      </c>
      <c r="H102" s="498">
        <v>2295454.5775651671</v>
      </c>
      <c r="I102" s="499">
        <v>2295454.5775651671</v>
      </c>
      <c r="J102" s="504">
        <f t="shared" si="12"/>
        <v>0</v>
      </c>
      <c r="K102" s="504"/>
      <c r="L102" s="506">
        <f>H102</f>
        <v>2295454.5775651671</v>
      </c>
      <c r="M102" s="504">
        <f>IF(L102&lt;&gt;0,+H102-L102,0)</f>
        <v>0</v>
      </c>
      <c r="N102" s="506">
        <f>I102</f>
        <v>2295454.5775651671</v>
      </c>
      <c r="O102" s="504">
        <f t="shared" si="16"/>
        <v>0</v>
      </c>
      <c r="P102" s="504">
        <f t="shared" si="17"/>
        <v>0</v>
      </c>
    </row>
    <row r="103" spans="1:16">
      <c r="B103" s="145" t="str">
        <f t="shared" si="11"/>
        <v/>
      </c>
      <c r="C103" s="495">
        <f>IF(D94="","-",+C102+1)</f>
        <v>2021</v>
      </c>
      <c r="D103" s="349">
        <f>IF(F102+SUM(E$100:E102)=D$93,F102,D$93-SUM(E$100:E102))</f>
        <v>15529034.901154401</v>
      </c>
      <c r="E103" s="509">
        <f t="shared" ref="E103:E155" si="18">IF(+J$97&lt;F102,J$97,D103)</f>
        <v>813965.71428571432</v>
      </c>
      <c r="F103" s="510">
        <f t="shared" ref="F103:F155" si="19">+D103-E103</f>
        <v>14715069.186868686</v>
      </c>
      <c r="G103" s="510">
        <f t="shared" ref="G103:G155" si="20">+(F103+D103)/2</f>
        <v>15122052.044011544</v>
      </c>
      <c r="H103" s="627">
        <f t="shared" ref="H103:H155" si="21">+J$95*G103+E103</f>
        <v>2549353.8656732598</v>
      </c>
      <c r="I103" s="628">
        <f t="shared" ref="I103:I155" si="22">+J$96*G103+E103</f>
        <v>2549353.8656732598</v>
      </c>
      <c r="J103" s="504">
        <f t="shared" si="12"/>
        <v>0</v>
      </c>
      <c r="K103" s="504"/>
      <c r="L103" s="512"/>
      <c r="M103" s="504">
        <f t="shared" ref="M103:M131" si="23">IF(L103&lt;&gt;0,+H103-L103,0)</f>
        <v>0</v>
      </c>
      <c r="N103" s="512"/>
      <c r="O103" s="504">
        <f t="shared" si="16"/>
        <v>0</v>
      </c>
      <c r="P103" s="504">
        <f t="shared" si="17"/>
        <v>0</v>
      </c>
    </row>
    <row r="104" spans="1:16">
      <c r="B104" s="145" t="str">
        <f t="shared" si="11"/>
        <v/>
      </c>
      <c r="C104" s="495">
        <f>IF(D94="","-",+C103+1)</f>
        <v>2022</v>
      </c>
      <c r="D104" s="349">
        <f>IF(F103+SUM(E$100:E103)=D$93,F103,D$93-SUM(E$100:E103))</f>
        <v>14715069.186868686</v>
      </c>
      <c r="E104" s="509">
        <f t="shared" si="18"/>
        <v>813965.71428571432</v>
      </c>
      <c r="F104" s="510">
        <f t="shared" si="19"/>
        <v>13901103.472582972</v>
      </c>
      <c r="G104" s="510">
        <f t="shared" si="20"/>
        <v>14308086.329725828</v>
      </c>
      <c r="H104" s="627">
        <f t="shared" si="21"/>
        <v>2455944.1583070885</v>
      </c>
      <c r="I104" s="628">
        <f t="shared" si="22"/>
        <v>2455944.1583070885</v>
      </c>
      <c r="J104" s="504">
        <f t="shared" si="12"/>
        <v>0</v>
      </c>
      <c r="K104" s="504"/>
      <c r="L104" s="512"/>
      <c r="M104" s="504">
        <f t="shared" si="23"/>
        <v>0</v>
      </c>
      <c r="N104" s="512"/>
      <c r="O104" s="504">
        <f t="shared" si="16"/>
        <v>0</v>
      </c>
      <c r="P104" s="504">
        <f t="shared" si="17"/>
        <v>0</v>
      </c>
    </row>
    <row r="105" spans="1:16">
      <c r="B105" s="145" t="str">
        <f t="shared" si="11"/>
        <v/>
      </c>
      <c r="C105" s="495">
        <f>IF(D94="","-",+C104+1)</f>
        <v>2023</v>
      </c>
      <c r="D105" s="349">
        <f>IF(F104+SUM(E$100:E104)=D$93,F104,D$93-SUM(E$100:E104))</f>
        <v>13901103.472582972</v>
      </c>
      <c r="E105" s="509">
        <f t="shared" si="18"/>
        <v>813965.71428571432</v>
      </c>
      <c r="F105" s="510">
        <f t="shared" si="19"/>
        <v>13087137.758297257</v>
      </c>
      <c r="G105" s="510">
        <f t="shared" si="20"/>
        <v>13494120.615440115</v>
      </c>
      <c r="H105" s="627">
        <f t="shared" si="21"/>
        <v>2362534.4509409172</v>
      </c>
      <c r="I105" s="628">
        <f t="shared" si="22"/>
        <v>2362534.4509409172</v>
      </c>
      <c r="J105" s="504">
        <f t="shared" si="12"/>
        <v>0</v>
      </c>
      <c r="K105" s="504"/>
      <c r="L105" s="512"/>
      <c r="M105" s="504">
        <f t="shared" si="23"/>
        <v>0</v>
      </c>
      <c r="N105" s="512"/>
      <c r="O105" s="504">
        <f t="shared" si="16"/>
        <v>0</v>
      </c>
      <c r="P105" s="504">
        <f t="shared" si="17"/>
        <v>0</v>
      </c>
    </row>
    <row r="106" spans="1:16">
      <c r="B106" s="145" t="str">
        <f t="shared" si="11"/>
        <v/>
      </c>
      <c r="C106" s="495">
        <f>IF(D94="","-",+C105+1)</f>
        <v>2024</v>
      </c>
      <c r="D106" s="349">
        <f>IF(F105+SUM(E$100:E105)=D$93,F105,D$93-SUM(E$100:E105))</f>
        <v>13087137.758297257</v>
      </c>
      <c r="E106" s="509">
        <f t="shared" si="18"/>
        <v>813965.71428571432</v>
      </c>
      <c r="F106" s="510">
        <f t="shared" si="19"/>
        <v>12273172.044011543</v>
      </c>
      <c r="G106" s="510">
        <f t="shared" si="20"/>
        <v>12680154.901154399</v>
      </c>
      <c r="H106" s="627">
        <f t="shared" si="21"/>
        <v>2269124.743574746</v>
      </c>
      <c r="I106" s="628">
        <f t="shared" si="22"/>
        <v>2269124.743574746</v>
      </c>
      <c r="J106" s="504">
        <f t="shared" si="12"/>
        <v>0</v>
      </c>
      <c r="K106" s="504"/>
      <c r="L106" s="512"/>
      <c r="M106" s="504">
        <f t="shared" si="23"/>
        <v>0</v>
      </c>
      <c r="N106" s="512"/>
      <c r="O106" s="504">
        <f t="shared" si="16"/>
        <v>0</v>
      </c>
      <c r="P106" s="504">
        <f t="shared" si="17"/>
        <v>0</v>
      </c>
    </row>
    <row r="107" spans="1:16">
      <c r="B107" s="145" t="str">
        <f t="shared" si="11"/>
        <v/>
      </c>
      <c r="C107" s="495">
        <f>IF(D94="","-",+C106+1)</f>
        <v>2025</v>
      </c>
      <c r="D107" s="349">
        <f>IF(F106+SUM(E$100:E106)=D$93,F106,D$93-SUM(E$100:E106))</f>
        <v>12273172.044011543</v>
      </c>
      <c r="E107" s="509">
        <f t="shared" si="18"/>
        <v>813965.71428571432</v>
      </c>
      <c r="F107" s="510">
        <f t="shared" si="19"/>
        <v>11459206.329725828</v>
      </c>
      <c r="G107" s="510">
        <f t="shared" si="20"/>
        <v>11866189.186868686</v>
      </c>
      <c r="H107" s="627">
        <f t="shared" si="21"/>
        <v>2175715.0362085751</v>
      </c>
      <c r="I107" s="628">
        <f t="shared" si="22"/>
        <v>2175715.0362085751</v>
      </c>
      <c r="J107" s="504">
        <f t="shared" si="12"/>
        <v>0</v>
      </c>
      <c r="K107" s="504"/>
      <c r="L107" s="512"/>
      <c r="M107" s="504">
        <f t="shared" si="23"/>
        <v>0</v>
      </c>
      <c r="N107" s="512"/>
      <c r="O107" s="504">
        <f t="shared" si="16"/>
        <v>0</v>
      </c>
      <c r="P107" s="504">
        <f t="shared" si="17"/>
        <v>0</v>
      </c>
    </row>
    <row r="108" spans="1:16">
      <c r="B108" s="145" t="str">
        <f t="shared" si="11"/>
        <v/>
      </c>
      <c r="C108" s="495">
        <f>IF(D94="","-",+C107+1)</f>
        <v>2026</v>
      </c>
      <c r="D108" s="349">
        <f>IF(F107+SUM(E$100:E107)=D$93,F107,D$93-SUM(E$100:E107))</f>
        <v>11459206.329725828</v>
      </c>
      <c r="E108" s="509">
        <f t="shared" si="18"/>
        <v>813965.71428571432</v>
      </c>
      <c r="F108" s="510">
        <f t="shared" si="19"/>
        <v>10645240.615440113</v>
      </c>
      <c r="G108" s="510">
        <f t="shared" si="20"/>
        <v>11052223.47258297</v>
      </c>
      <c r="H108" s="627">
        <f t="shared" si="21"/>
        <v>2082305.3288424038</v>
      </c>
      <c r="I108" s="628">
        <f t="shared" si="22"/>
        <v>2082305.3288424038</v>
      </c>
      <c r="J108" s="504">
        <f t="shared" si="12"/>
        <v>0</v>
      </c>
      <c r="K108" s="504"/>
      <c r="L108" s="512"/>
      <c r="M108" s="504">
        <f t="shared" si="23"/>
        <v>0</v>
      </c>
      <c r="N108" s="512"/>
      <c r="O108" s="504">
        <f t="shared" si="16"/>
        <v>0</v>
      </c>
      <c r="P108" s="504">
        <f t="shared" si="17"/>
        <v>0</v>
      </c>
    </row>
    <row r="109" spans="1:16">
      <c r="B109" s="145" t="str">
        <f t="shared" si="11"/>
        <v/>
      </c>
      <c r="C109" s="495">
        <f>IF(D94="","-",+C108+1)</f>
        <v>2027</v>
      </c>
      <c r="D109" s="349">
        <f>IF(F108+SUM(E$100:E108)=D$93,F108,D$93-SUM(E$100:E108))</f>
        <v>10645240.615440113</v>
      </c>
      <c r="E109" s="509">
        <f t="shared" si="18"/>
        <v>813965.71428571432</v>
      </c>
      <c r="F109" s="510">
        <f t="shared" si="19"/>
        <v>9831274.9011543989</v>
      </c>
      <c r="G109" s="510">
        <f t="shared" si="20"/>
        <v>10238257.758297257</v>
      </c>
      <c r="H109" s="627">
        <f t="shared" si="21"/>
        <v>1988895.6214762328</v>
      </c>
      <c r="I109" s="628">
        <f t="shared" si="22"/>
        <v>1988895.6214762328</v>
      </c>
      <c r="J109" s="504">
        <f t="shared" si="12"/>
        <v>0</v>
      </c>
      <c r="K109" s="504"/>
      <c r="L109" s="512"/>
      <c r="M109" s="504">
        <f t="shared" si="23"/>
        <v>0</v>
      </c>
      <c r="N109" s="512"/>
      <c r="O109" s="504">
        <f t="shared" si="16"/>
        <v>0</v>
      </c>
      <c r="P109" s="504">
        <f t="shared" si="17"/>
        <v>0</v>
      </c>
    </row>
    <row r="110" spans="1:16">
      <c r="B110" s="145" t="str">
        <f t="shared" si="11"/>
        <v/>
      </c>
      <c r="C110" s="495">
        <f>IF(D94="","-",+C109+1)</f>
        <v>2028</v>
      </c>
      <c r="D110" s="349">
        <f>IF(F109+SUM(E$100:E109)=D$93,F109,D$93-SUM(E$100:E109))</f>
        <v>9831274.9011543989</v>
      </c>
      <c r="E110" s="509">
        <f t="shared" si="18"/>
        <v>813965.71428571432</v>
      </c>
      <c r="F110" s="510">
        <f t="shared" si="19"/>
        <v>9017309.1868686844</v>
      </c>
      <c r="G110" s="510">
        <f t="shared" si="20"/>
        <v>9424292.0440115407</v>
      </c>
      <c r="H110" s="627">
        <f t="shared" si="21"/>
        <v>1895485.9141100612</v>
      </c>
      <c r="I110" s="628">
        <f t="shared" si="22"/>
        <v>1895485.9141100612</v>
      </c>
      <c r="J110" s="504">
        <f t="shared" si="12"/>
        <v>0</v>
      </c>
      <c r="K110" s="504"/>
      <c r="L110" s="512"/>
      <c r="M110" s="504">
        <f t="shared" si="23"/>
        <v>0</v>
      </c>
      <c r="N110" s="512"/>
      <c r="O110" s="504">
        <f t="shared" si="16"/>
        <v>0</v>
      </c>
      <c r="P110" s="504">
        <f t="shared" si="17"/>
        <v>0</v>
      </c>
    </row>
    <row r="111" spans="1:16">
      <c r="B111" s="145" t="str">
        <f t="shared" si="11"/>
        <v/>
      </c>
      <c r="C111" s="495">
        <f>IF(D94="","-",+C110+1)</f>
        <v>2029</v>
      </c>
      <c r="D111" s="349">
        <f>IF(F110+SUM(E$100:E110)=D$93,F110,D$93-SUM(E$100:E110))</f>
        <v>9017309.1868686844</v>
      </c>
      <c r="E111" s="509">
        <f t="shared" si="18"/>
        <v>813965.71428571432</v>
      </c>
      <c r="F111" s="510">
        <f t="shared" si="19"/>
        <v>8203343.4725829698</v>
      </c>
      <c r="G111" s="510">
        <f t="shared" si="20"/>
        <v>8610326.329725828</v>
      </c>
      <c r="H111" s="627">
        <f t="shared" si="21"/>
        <v>1802076.2067438904</v>
      </c>
      <c r="I111" s="628">
        <f t="shared" si="22"/>
        <v>1802076.2067438904</v>
      </c>
      <c r="J111" s="504">
        <f t="shared" si="12"/>
        <v>0</v>
      </c>
      <c r="K111" s="504"/>
      <c r="L111" s="512"/>
      <c r="M111" s="504">
        <f t="shared" si="23"/>
        <v>0</v>
      </c>
      <c r="N111" s="512"/>
      <c r="O111" s="504">
        <f t="shared" si="16"/>
        <v>0</v>
      </c>
      <c r="P111" s="504">
        <f t="shared" si="17"/>
        <v>0</v>
      </c>
    </row>
    <row r="112" spans="1:16">
      <c r="B112" s="145" t="str">
        <f t="shared" si="11"/>
        <v/>
      </c>
      <c r="C112" s="495">
        <f>IF(D94="","-",+C111+1)</f>
        <v>2030</v>
      </c>
      <c r="D112" s="349">
        <f>IF(F111+SUM(E$100:E111)=D$93,F111,D$93-SUM(E$100:E111))</f>
        <v>8203343.4725829698</v>
      </c>
      <c r="E112" s="509">
        <f t="shared" si="18"/>
        <v>813965.71428571432</v>
      </c>
      <c r="F112" s="510">
        <f t="shared" si="19"/>
        <v>7389377.7582972553</v>
      </c>
      <c r="G112" s="510">
        <f t="shared" si="20"/>
        <v>7796360.6154401125</v>
      </c>
      <c r="H112" s="627">
        <f t="shared" si="21"/>
        <v>1708666.4993777191</v>
      </c>
      <c r="I112" s="628">
        <f t="shared" si="22"/>
        <v>1708666.4993777191</v>
      </c>
      <c r="J112" s="504">
        <f t="shared" si="12"/>
        <v>0</v>
      </c>
      <c r="K112" s="504"/>
      <c r="L112" s="512"/>
      <c r="M112" s="504">
        <f t="shared" si="23"/>
        <v>0</v>
      </c>
      <c r="N112" s="512"/>
      <c r="O112" s="504">
        <f t="shared" si="16"/>
        <v>0</v>
      </c>
      <c r="P112" s="504">
        <f t="shared" si="17"/>
        <v>0</v>
      </c>
    </row>
    <row r="113" spans="2:16">
      <c r="B113" s="145" t="str">
        <f t="shared" si="11"/>
        <v/>
      </c>
      <c r="C113" s="495">
        <f>IF(D94="","-",+C112+1)</f>
        <v>2031</v>
      </c>
      <c r="D113" s="349">
        <f>IF(F112+SUM(E$100:E112)=D$93,F112,D$93-SUM(E$100:E112))</f>
        <v>7389377.7582972553</v>
      </c>
      <c r="E113" s="509">
        <f t="shared" si="18"/>
        <v>813965.71428571432</v>
      </c>
      <c r="F113" s="510">
        <f t="shared" si="19"/>
        <v>6575412.0440115407</v>
      </c>
      <c r="G113" s="510">
        <f t="shared" si="20"/>
        <v>6982394.901154398</v>
      </c>
      <c r="H113" s="627">
        <f t="shared" si="21"/>
        <v>1615256.7920115478</v>
      </c>
      <c r="I113" s="628">
        <f t="shared" si="22"/>
        <v>1615256.7920115478</v>
      </c>
      <c r="J113" s="504">
        <f t="shared" si="12"/>
        <v>0</v>
      </c>
      <c r="K113" s="504"/>
      <c r="L113" s="512"/>
      <c r="M113" s="504">
        <f t="shared" si="23"/>
        <v>0</v>
      </c>
      <c r="N113" s="512"/>
      <c r="O113" s="504">
        <f t="shared" si="16"/>
        <v>0</v>
      </c>
      <c r="P113" s="504">
        <f t="shared" si="17"/>
        <v>0</v>
      </c>
    </row>
    <row r="114" spans="2:16">
      <c r="B114" s="145" t="str">
        <f t="shared" si="11"/>
        <v/>
      </c>
      <c r="C114" s="495">
        <f>IF(D94="","-",+C113+1)</f>
        <v>2032</v>
      </c>
      <c r="D114" s="349">
        <f>IF(F113+SUM(E$100:E113)=D$93,F113,D$93-SUM(E$100:E113))</f>
        <v>6575412.0440115407</v>
      </c>
      <c r="E114" s="509">
        <f t="shared" si="18"/>
        <v>813965.71428571432</v>
      </c>
      <c r="F114" s="510">
        <f t="shared" si="19"/>
        <v>5761446.3297258262</v>
      </c>
      <c r="G114" s="510">
        <f t="shared" si="20"/>
        <v>6168429.1868686834</v>
      </c>
      <c r="H114" s="627">
        <f t="shared" si="21"/>
        <v>1521847.0846453765</v>
      </c>
      <c r="I114" s="628">
        <f t="shared" si="22"/>
        <v>1521847.0846453765</v>
      </c>
      <c r="J114" s="504">
        <f t="shared" si="12"/>
        <v>0</v>
      </c>
      <c r="K114" s="504"/>
      <c r="L114" s="512"/>
      <c r="M114" s="504">
        <f t="shared" si="23"/>
        <v>0</v>
      </c>
      <c r="N114" s="512"/>
      <c r="O114" s="504">
        <f t="shared" si="16"/>
        <v>0</v>
      </c>
      <c r="P114" s="504">
        <f t="shared" si="17"/>
        <v>0</v>
      </c>
    </row>
    <row r="115" spans="2:16">
      <c r="B115" s="145" t="str">
        <f t="shared" si="11"/>
        <v/>
      </c>
      <c r="C115" s="495">
        <f>IF(D94="","-",+C114+1)</f>
        <v>2033</v>
      </c>
      <c r="D115" s="349">
        <f>IF(F114+SUM(E$100:E114)=D$93,F114,D$93-SUM(E$100:E114))</f>
        <v>5761446.3297258262</v>
      </c>
      <c r="E115" s="509">
        <f t="shared" si="18"/>
        <v>813965.71428571432</v>
      </c>
      <c r="F115" s="510">
        <f t="shared" si="19"/>
        <v>4947480.6154401116</v>
      </c>
      <c r="G115" s="510">
        <f t="shared" si="20"/>
        <v>5354463.4725829689</v>
      </c>
      <c r="H115" s="627">
        <f t="shared" si="21"/>
        <v>1428437.3772792055</v>
      </c>
      <c r="I115" s="628">
        <f t="shared" si="22"/>
        <v>1428437.3772792055</v>
      </c>
      <c r="J115" s="504">
        <f t="shared" si="12"/>
        <v>0</v>
      </c>
      <c r="K115" s="504"/>
      <c r="L115" s="512"/>
      <c r="M115" s="504">
        <f t="shared" si="23"/>
        <v>0</v>
      </c>
      <c r="N115" s="512"/>
      <c r="O115" s="504">
        <f t="shared" si="16"/>
        <v>0</v>
      </c>
      <c r="P115" s="504">
        <f t="shared" si="17"/>
        <v>0</v>
      </c>
    </row>
    <row r="116" spans="2:16">
      <c r="B116" s="145" t="str">
        <f t="shared" si="11"/>
        <v/>
      </c>
      <c r="C116" s="495">
        <f>IF(D94="","-",+C115+1)</f>
        <v>2034</v>
      </c>
      <c r="D116" s="349">
        <f>IF(F115+SUM(E$100:E115)=D$93,F115,D$93-SUM(E$100:E115))</f>
        <v>4947480.6154401116</v>
      </c>
      <c r="E116" s="509">
        <f t="shared" si="18"/>
        <v>813965.71428571432</v>
      </c>
      <c r="F116" s="510">
        <f t="shared" si="19"/>
        <v>4133514.9011543971</v>
      </c>
      <c r="G116" s="510">
        <f t="shared" si="20"/>
        <v>4540497.7582972543</v>
      </c>
      <c r="H116" s="627">
        <f t="shared" si="21"/>
        <v>1335027.6699130344</v>
      </c>
      <c r="I116" s="628">
        <f t="shared" si="22"/>
        <v>1335027.6699130344</v>
      </c>
      <c r="J116" s="504">
        <f t="shared" si="12"/>
        <v>0</v>
      </c>
      <c r="K116" s="504"/>
      <c r="L116" s="512"/>
      <c r="M116" s="504">
        <f t="shared" si="23"/>
        <v>0</v>
      </c>
      <c r="N116" s="512"/>
      <c r="O116" s="504">
        <f t="shared" si="16"/>
        <v>0</v>
      </c>
      <c r="P116" s="504">
        <f t="shared" si="17"/>
        <v>0</v>
      </c>
    </row>
    <row r="117" spans="2:16">
      <c r="B117" s="145" t="str">
        <f t="shared" si="11"/>
        <v/>
      </c>
      <c r="C117" s="495">
        <f>IF(D94="","-",+C116+1)</f>
        <v>2035</v>
      </c>
      <c r="D117" s="349">
        <f>IF(F116+SUM(E$100:E116)=D$93,F116,D$93-SUM(E$100:E116))</f>
        <v>4133514.9011543971</v>
      </c>
      <c r="E117" s="509">
        <f t="shared" si="18"/>
        <v>813965.71428571432</v>
      </c>
      <c r="F117" s="510">
        <f t="shared" si="19"/>
        <v>3319549.1868686825</v>
      </c>
      <c r="G117" s="510">
        <f t="shared" si="20"/>
        <v>3726532.0440115398</v>
      </c>
      <c r="H117" s="627">
        <f t="shared" si="21"/>
        <v>1241617.9625468631</v>
      </c>
      <c r="I117" s="628">
        <f t="shared" si="22"/>
        <v>1241617.9625468631</v>
      </c>
      <c r="J117" s="504">
        <f t="shared" si="12"/>
        <v>0</v>
      </c>
      <c r="K117" s="504"/>
      <c r="L117" s="512"/>
      <c r="M117" s="504">
        <f t="shared" si="23"/>
        <v>0</v>
      </c>
      <c r="N117" s="512"/>
      <c r="O117" s="504">
        <f t="shared" si="16"/>
        <v>0</v>
      </c>
      <c r="P117" s="504">
        <f t="shared" si="17"/>
        <v>0</v>
      </c>
    </row>
    <row r="118" spans="2:16">
      <c r="B118" s="145" t="str">
        <f t="shared" si="11"/>
        <v/>
      </c>
      <c r="C118" s="495">
        <f>IF(D94="","-",+C117+1)</f>
        <v>2036</v>
      </c>
      <c r="D118" s="349">
        <f>IF(F117+SUM(E$100:E117)=D$93,F117,D$93-SUM(E$100:E117))</f>
        <v>3319549.1868686825</v>
      </c>
      <c r="E118" s="509">
        <f t="shared" si="18"/>
        <v>813965.71428571432</v>
      </c>
      <c r="F118" s="510">
        <f t="shared" si="19"/>
        <v>2505583.472582968</v>
      </c>
      <c r="G118" s="510">
        <f t="shared" si="20"/>
        <v>2912566.3297258252</v>
      </c>
      <c r="H118" s="627">
        <f t="shared" si="21"/>
        <v>1148208.2551806918</v>
      </c>
      <c r="I118" s="628">
        <f t="shared" si="22"/>
        <v>1148208.2551806918</v>
      </c>
      <c r="J118" s="504">
        <f t="shared" si="12"/>
        <v>0</v>
      </c>
      <c r="K118" s="504"/>
      <c r="L118" s="512"/>
      <c r="M118" s="504">
        <f t="shared" si="23"/>
        <v>0</v>
      </c>
      <c r="N118" s="512"/>
      <c r="O118" s="504">
        <f t="shared" si="16"/>
        <v>0</v>
      </c>
      <c r="P118" s="504">
        <f t="shared" si="17"/>
        <v>0</v>
      </c>
    </row>
    <row r="119" spans="2:16">
      <c r="B119" s="145" t="str">
        <f t="shared" si="11"/>
        <v/>
      </c>
      <c r="C119" s="495">
        <f>IF(D94="","-",+C118+1)</f>
        <v>2037</v>
      </c>
      <c r="D119" s="349">
        <f>IF(F118+SUM(E$100:E118)=D$93,F118,D$93-SUM(E$100:E118))</f>
        <v>2505583.472582968</v>
      </c>
      <c r="E119" s="509">
        <f t="shared" si="18"/>
        <v>813965.71428571432</v>
      </c>
      <c r="F119" s="510">
        <f t="shared" si="19"/>
        <v>1691617.7582972536</v>
      </c>
      <c r="G119" s="510">
        <f t="shared" si="20"/>
        <v>2098600.6154401107</v>
      </c>
      <c r="H119" s="627">
        <f t="shared" si="21"/>
        <v>1054798.5478145208</v>
      </c>
      <c r="I119" s="628">
        <f t="shared" si="22"/>
        <v>1054798.5478145208</v>
      </c>
      <c r="J119" s="504">
        <f t="shared" si="12"/>
        <v>0</v>
      </c>
      <c r="K119" s="504"/>
      <c r="L119" s="512"/>
      <c r="M119" s="504">
        <f t="shared" si="23"/>
        <v>0</v>
      </c>
      <c r="N119" s="512"/>
      <c r="O119" s="504">
        <f t="shared" si="16"/>
        <v>0</v>
      </c>
      <c r="P119" s="504">
        <f t="shared" si="17"/>
        <v>0</v>
      </c>
    </row>
    <row r="120" spans="2:16">
      <c r="B120" s="145" t="str">
        <f t="shared" si="11"/>
        <v/>
      </c>
      <c r="C120" s="495">
        <f>IF(D94="","-",+C119+1)</f>
        <v>2038</v>
      </c>
      <c r="D120" s="349">
        <f>IF(F119+SUM(E$100:E119)=D$93,F119,D$93-SUM(E$100:E119))</f>
        <v>1691617.7582972536</v>
      </c>
      <c r="E120" s="509">
        <f t="shared" si="18"/>
        <v>813965.71428571432</v>
      </c>
      <c r="F120" s="510">
        <f t="shared" si="19"/>
        <v>877652.04401153931</v>
      </c>
      <c r="G120" s="510">
        <f t="shared" si="20"/>
        <v>1284634.9011543966</v>
      </c>
      <c r="H120" s="627">
        <f t="shared" si="21"/>
        <v>961388.8404483496</v>
      </c>
      <c r="I120" s="628">
        <f t="shared" si="22"/>
        <v>961388.8404483496</v>
      </c>
      <c r="J120" s="504">
        <f t="shared" si="12"/>
        <v>0</v>
      </c>
      <c r="K120" s="504"/>
      <c r="L120" s="512"/>
      <c r="M120" s="504">
        <f t="shared" si="23"/>
        <v>0</v>
      </c>
      <c r="N120" s="512"/>
      <c r="O120" s="504">
        <f t="shared" si="16"/>
        <v>0</v>
      </c>
      <c r="P120" s="504">
        <f t="shared" si="17"/>
        <v>0</v>
      </c>
    </row>
    <row r="121" spans="2:16">
      <c r="B121" s="145" t="str">
        <f t="shared" si="11"/>
        <v/>
      </c>
      <c r="C121" s="495">
        <f>IF(D94="","-",+C120+1)</f>
        <v>2039</v>
      </c>
      <c r="D121" s="349">
        <f>IF(F120+SUM(E$100:E120)=D$93,F120,D$93-SUM(E$100:E120))</f>
        <v>877652.04401153931</v>
      </c>
      <c r="E121" s="509">
        <f t="shared" si="18"/>
        <v>813965.71428571432</v>
      </c>
      <c r="F121" s="510">
        <f t="shared" si="19"/>
        <v>63686.329725824995</v>
      </c>
      <c r="G121" s="510">
        <f t="shared" si="20"/>
        <v>470669.18686868215</v>
      </c>
      <c r="H121" s="627">
        <f t="shared" si="21"/>
        <v>867979.13308217842</v>
      </c>
      <c r="I121" s="628">
        <f t="shared" si="22"/>
        <v>867979.13308217842</v>
      </c>
      <c r="J121" s="504">
        <f t="shared" si="12"/>
        <v>0</v>
      </c>
      <c r="K121" s="504"/>
      <c r="L121" s="512"/>
      <c r="M121" s="504">
        <f t="shared" si="23"/>
        <v>0</v>
      </c>
      <c r="N121" s="512"/>
      <c r="O121" s="504">
        <f t="shared" si="16"/>
        <v>0</v>
      </c>
      <c r="P121" s="504">
        <f t="shared" si="17"/>
        <v>0</v>
      </c>
    </row>
    <row r="122" spans="2:16">
      <c r="B122" s="145" t="str">
        <f t="shared" si="11"/>
        <v/>
      </c>
      <c r="C122" s="495">
        <f>IF(D94="","-",+C121+1)</f>
        <v>2040</v>
      </c>
      <c r="D122" s="349">
        <f>IF(F121+SUM(E$100:E121)=D$93,F121,D$93-SUM(E$100:E121))</f>
        <v>63686.329725824995</v>
      </c>
      <c r="E122" s="509">
        <f t="shared" si="18"/>
        <v>63686.329725824995</v>
      </c>
      <c r="F122" s="510">
        <f t="shared" si="19"/>
        <v>0</v>
      </c>
      <c r="G122" s="510">
        <f t="shared" si="20"/>
        <v>31843.164862912497</v>
      </c>
      <c r="H122" s="627">
        <f t="shared" si="21"/>
        <v>67340.612282514252</v>
      </c>
      <c r="I122" s="628">
        <f t="shared" si="22"/>
        <v>67340.612282514252</v>
      </c>
      <c r="J122" s="504">
        <f t="shared" si="12"/>
        <v>0</v>
      </c>
      <c r="K122" s="504"/>
      <c r="L122" s="512"/>
      <c r="M122" s="504">
        <f t="shared" si="23"/>
        <v>0</v>
      </c>
      <c r="N122" s="512"/>
      <c r="O122" s="504">
        <f t="shared" si="16"/>
        <v>0</v>
      </c>
      <c r="P122" s="504">
        <f t="shared" si="17"/>
        <v>0</v>
      </c>
    </row>
    <row r="123" spans="2:16">
      <c r="B123" s="145" t="str">
        <f t="shared" si="11"/>
        <v/>
      </c>
      <c r="C123" s="495">
        <f>IF(D94="","-",+C122+1)</f>
        <v>2041</v>
      </c>
      <c r="D123" s="349">
        <f>IF(F122+SUM(E$100:E122)=D$93,F122,D$93-SUM(E$100:E122))</f>
        <v>0</v>
      </c>
      <c r="E123" s="509">
        <f t="shared" si="18"/>
        <v>0</v>
      </c>
      <c r="F123" s="510">
        <f t="shared" si="19"/>
        <v>0</v>
      </c>
      <c r="G123" s="510">
        <f t="shared" si="20"/>
        <v>0</v>
      </c>
      <c r="H123" s="627">
        <f t="shared" si="21"/>
        <v>0</v>
      </c>
      <c r="I123" s="628">
        <f t="shared" si="22"/>
        <v>0</v>
      </c>
      <c r="J123" s="504">
        <f t="shared" si="12"/>
        <v>0</v>
      </c>
      <c r="K123" s="504"/>
      <c r="L123" s="512"/>
      <c r="M123" s="504">
        <f t="shared" si="23"/>
        <v>0</v>
      </c>
      <c r="N123" s="512"/>
      <c r="O123" s="504">
        <f t="shared" si="16"/>
        <v>0</v>
      </c>
      <c r="P123" s="504">
        <f t="shared" si="17"/>
        <v>0</v>
      </c>
    </row>
    <row r="124" spans="2:16">
      <c r="B124" s="145" t="str">
        <f t="shared" si="11"/>
        <v/>
      </c>
      <c r="C124" s="495">
        <f>IF(D94="","-",+C123+1)</f>
        <v>2042</v>
      </c>
      <c r="D124" s="349">
        <f>IF(F123+SUM(E$100:E123)=D$93,F123,D$93-SUM(E$100:E123))</f>
        <v>0</v>
      </c>
      <c r="E124" s="509">
        <f t="shared" si="18"/>
        <v>0</v>
      </c>
      <c r="F124" s="510">
        <f t="shared" si="19"/>
        <v>0</v>
      </c>
      <c r="G124" s="510">
        <f t="shared" si="20"/>
        <v>0</v>
      </c>
      <c r="H124" s="627">
        <f t="shared" si="21"/>
        <v>0</v>
      </c>
      <c r="I124" s="628">
        <f t="shared" si="22"/>
        <v>0</v>
      </c>
      <c r="J124" s="504">
        <f t="shared" si="12"/>
        <v>0</v>
      </c>
      <c r="K124" s="504"/>
      <c r="L124" s="512"/>
      <c r="M124" s="504">
        <f t="shared" si="23"/>
        <v>0</v>
      </c>
      <c r="N124" s="512"/>
      <c r="O124" s="504">
        <f t="shared" si="16"/>
        <v>0</v>
      </c>
      <c r="P124" s="504">
        <f t="shared" si="17"/>
        <v>0</v>
      </c>
    </row>
    <row r="125" spans="2:16">
      <c r="B125" s="145" t="str">
        <f t="shared" si="11"/>
        <v/>
      </c>
      <c r="C125" s="495">
        <f>IF(D94="","-",+C124+1)</f>
        <v>2043</v>
      </c>
      <c r="D125" s="349">
        <f>IF(F124+SUM(E$100:E124)=D$93,F124,D$93-SUM(E$100:E124))</f>
        <v>0</v>
      </c>
      <c r="E125" s="509">
        <f t="shared" si="18"/>
        <v>0</v>
      </c>
      <c r="F125" s="510">
        <f t="shared" si="19"/>
        <v>0</v>
      </c>
      <c r="G125" s="510">
        <f t="shared" si="20"/>
        <v>0</v>
      </c>
      <c r="H125" s="627">
        <f t="shared" si="21"/>
        <v>0</v>
      </c>
      <c r="I125" s="628">
        <f t="shared" si="22"/>
        <v>0</v>
      </c>
      <c r="J125" s="504">
        <f t="shared" si="12"/>
        <v>0</v>
      </c>
      <c r="K125" s="504"/>
      <c r="L125" s="512"/>
      <c r="M125" s="504">
        <f t="shared" si="23"/>
        <v>0</v>
      </c>
      <c r="N125" s="512"/>
      <c r="O125" s="504">
        <f t="shared" si="16"/>
        <v>0</v>
      </c>
      <c r="P125" s="504">
        <f t="shared" si="17"/>
        <v>0</v>
      </c>
    </row>
    <row r="126" spans="2:16">
      <c r="B126" s="145" t="str">
        <f t="shared" si="11"/>
        <v/>
      </c>
      <c r="C126" s="495">
        <f>IF(D94="","-",+C125+1)</f>
        <v>2044</v>
      </c>
      <c r="D126" s="349">
        <f>IF(F125+SUM(E$100:E125)=D$93,F125,D$93-SUM(E$100:E125))</f>
        <v>0</v>
      </c>
      <c r="E126" s="509">
        <f t="shared" si="18"/>
        <v>0</v>
      </c>
      <c r="F126" s="510">
        <f t="shared" si="19"/>
        <v>0</v>
      </c>
      <c r="G126" s="510">
        <f t="shared" si="20"/>
        <v>0</v>
      </c>
      <c r="H126" s="627">
        <f t="shared" si="21"/>
        <v>0</v>
      </c>
      <c r="I126" s="628">
        <f t="shared" si="22"/>
        <v>0</v>
      </c>
      <c r="J126" s="504">
        <f t="shared" si="12"/>
        <v>0</v>
      </c>
      <c r="K126" s="504"/>
      <c r="L126" s="512"/>
      <c r="M126" s="504">
        <f t="shared" si="23"/>
        <v>0</v>
      </c>
      <c r="N126" s="512"/>
      <c r="O126" s="504">
        <f t="shared" si="16"/>
        <v>0</v>
      </c>
      <c r="P126" s="504">
        <f t="shared" si="17"/>
        <v>0</v>
      </c>
    </row>
    <row r="127" spans="2:16">
      <c r="B127" s="145" t="str">
        <f t="shared" si="11"/>
        <v/>
      </c>
      <c r="C127" s="495">
        <f>IF(D94="","-",+C126+1)</f>
        <v>2045</v>
      </c>
      <c r="D127" s="349">
        <f>IF(F126+SUM(E$100:E126)=D$93,F126,D$93-SUM(E$100:E126))</f>
        <v>0</v>
      </c>
      <c r="E127" s="509">
        <f t="shared" si="18"/>
        <v>0</v>
      </c>
      <c r="F127" s="510">
        <f t="shared" si="19"/>
        <v>0</v>
      </c>
      <c r="G127" s="510">
        <f t="shared" si="20"/>
        <v>0</v>
      </c>
      <c r="H127" s="627">
        <f t="shared" si="21"/>
        <v>0</v>
      </c>
      <c r="I127" s="628">
        <f t="shared" si="22"/>
        <v>0</v>
      </c>
      <c r="J127" s="504">
        <f t="shared" si="12"/>
        <v>0</v>
      </c>
      <c r="K127" s="504"/>
      <c r="L127" s="512"/>
      <c r="M127" s="504">
        <f t="shared" si="23"/>
        <v>0</v>
      </c>
      <c r="N127" s="512"/>
      <c r="O127" s="504">
        <f t="shared" si="16"/>
        <v>0</v>
      </c>
      <c r="P127" s="504">
        <f t="shared" si="17"/>
        <v>0</v>
      </c>
    </row>
    <row r="128" spans="2:16">
      <c r="B128" s="145" t="str">
        <f t="shared" si="11"/>
        <v/>
      </c>
      <c r="C128" s="495">
        <f>IF(D94="","-",+C127+1)</f>
        <v>2046</v>
      </c>
      <c r="D128" s="349">
        <f>IF(F127+SUM(E$100:E127)=D$93,F127,D$93-SUM(E$100:E127))</f>
        <v>0</v>
      </c>
      <c r="E128" s="509">
        <f t="shared" si="18"/>
        <v>0</v>
      </c>
      <c r="F128" s="510">
        <f t="shared" si="19"/>
        <v>0</v>
      </c>
      <c r="G128" s="510">
        <f t="shared" si="20"/>
        <v>0</v>
      </c>
      <c r="H128" s="627">
        <f t="shared" si="21"/>
        <v>0</v>
      </c>
      <c r="I128" s="628">
        <f t="shared" si="22"/>
        <v>0</v>
      </c>
      <c r="J128" s="504">
        <f t="shared" si="12"/>
        <v>0</v>
      </c>
      <c r="K128" s="504"/>
      <c r="L128" s="512"/>
      <c r="M128" s="504">
        <f t="shared" si="23"/>
        <v>0</v>
      </c>
      <c r="N128" s="512"/>
      <c r="O128" s="504">
        <f t="shared" si="16"/>
        <v>0</v>
      </c>
      <c r="P128" s="504">
        <f t="shared" si="17"/>
        <v>0</v>
      </c>
    </row>
    <row r="129" spans="2:16">
      <c r="B129" s="145" t="str">
        <f t="shared" si="11"/>
        <v/>
      </c>
      <c r="C129" s="495">
        <f>IF(D94="","-",+C128+1)</f>
        <v>2047</v>
      </c>
      <c r="D129" s="349">
        <f>IF(F128+SUM(E$100:E128)=D$93,F128,D$93-SUM(E$100:E128))</f>
        <v>0</v>
      </c>
      <c r="E129" s="509">
        <f t="shared" si="18"/>
        <v>0</v>
      </c>
      <c r="F129" s="510">
        <f t="shared" si="19"/>
        <v>0</v>
      </c>
      <c r="G129" s="510">
        <f t="shared" si="20"/>
        <v>0</v>
      </c>
      <c r="H129" s="627">
        <f t="shared" si="21"/>
        <v>0</v>
      </c>
      <c r="I129" s="628">
        <f t="shared" si="22"/>
        <v>0</v>
      </c>
      <c r="J129" s="504">
        <f t="shared" si="12"/>
        <v>0</v>
      </c>
      <c r="K129" s="504"/>
      <c r="L129" s="512"/>
      <c r="M129" s="504">
        <f t="shared" si="23"/>
        <v>0</v>
      </c>
      <c r="N129" s="512"/>
      <c r="O129" s="504">
        <f t="shared" si="16"/>
        <v>0</v>
      </c>
      <c r="P129" s="504">
        <f t="shared" si="17"/>
        <v>0</v>
      </c>
    </row>
    <row r="130" spans="2:16">
      <c r="B130" s="145" t="str">
        <f t="shared" si="11"/>
        <v/>
      </c>
      <c r="C130" s="495">
        <f>IF(D94="","-",+C129+1)</f>
        <v>2048</v>
      </c>
      <c r="D130" s="349">
        <f>IF(F129+SUM(E$100:E129)=D$93,F129,D$93-SUM(E$100:E129))</f>
        <v>0</v>
      </c>
      <c r="E130" s="509">
        <f t="shared" si="18"/>
        <v>0</v>
      </c>
      <c r="F130" s="510">
        <f t="shared" si="19"/>
        <v>0</v>
      </c>
      <c r="G130" s="510">
        <f t="shared" si="20"/>
        <v>0</v>
      </c>
      <c r="H130" s="627">
        <f t="shared" si="21"/>
        <v>0</v>
      </c>
      <c r="I130" s="628">
        <f t="shared" si="22"/>
        <v>0</v>
      </c>
      <c r="J130" s="504">
        <f t="shared" si="12"/>
        <v>0</v>
      </c>
      <c r="K130" s="504"/>
      <c r="L130" s="512"/>
      <c r="M130" s="504">
        <f t="shared" si="23"/>
        <v>0</v>
      </c>
      <c r="N130" s="512"/>
      <c r="O130" s="504">
        <f t="shared" si="16"/>
        <v>0</v>
      </c>
      <c r="P130" s="504">
        <f t="shared" si="17"/>
        <v>0</v>
      </c>
    </row>
    <row r="131" spans="2:16">
      <c r="B131" s="145" t="str">
        <f t="shared" si="11"/>
        <v/>
      </c>
      <c r="C131" s="495">
        <f>IF(D94="","-",+C130+1)</f>
        <v>2049</v>
      </c>
      <c r="D131" s="349">
        <f>IF(F130+SUM(E$100:E130)=D$93,F130,D$93-SUM(E$100:E130))</f>
        <v>0</v>
      </c>
      <c r="E131" s="509">
        <f t="shared" si="18"/>
        <v>0</v>
      </c>
      <c r="F131" s="510">
        <f t="shared" si="19"/>
        <v>0</v>
      </c>
      <c r="G131" s="510">
        <f t="shared" si="20"/>
        <v>0</v>
      </c>
      <c r="H131" s="627">
        <f t="shared" si="21"/>
        <v>0</v>
      </c>
      <c r="I131" s="628">
        <f t="shared" si="22"/>
        <v>0</v>
      </c>
      <c r="J131" s="504">
        <f t="shared" si="12"/>
        <v>0</v>
      </c>
      <c r="K131" s="504"/>
      <c r="L131" s="512"/>
      <c r="M131" s="504">
        <f t="shared" si="23"/>
        <v>0</v>
      </c>
      <c r="N131" s="512"/>
      <c r="O131" s="504">
        <f t="shared" si="16"/>
        <v>0</v>
      </c>
      <c r="P131" s="504">
        <f t="shared" si="17"/>
        <v>0</v>
      </c>
    </row>
    <row r="132" spans="2:16">
      <c r="B132" s="145" t="str">
        <f t="shared" si="11"/>
        <v/>
      </c>
      <c r="C132" s="495">
        <f>IF(D94="","-",+C131+1)</f>
        <v>2050</v>
      </c>
      <c r="D132" s="349">
        <f>IF(F131+SUM(E$100:E131)=D$93,F131,D$93-SUM(E$100:E131))</f>
        <v>0</v>
      </c>
      <c r="E132" s="509">
        <f t="shared" si="18"/>
        <v>0</v>
      </c>
      <c r="F132" s="510">
        <f t="shared" si="19"/>
        <v>0</v>
      </c>
      <c r="G132" s="510">
        <f t="shared" si="20"/>
        <v>0</v>
      </c>
      <c r="H132" s="627">
        <f t="shared" si="21"/>
        <v>0</v>
      </c>
      <c r="I132" s="628">
        <f t="shared" si="22"/>
        <v>0</v>
      </c>
      <c r="J132" s="504">
        <f t="shared" ref="J132:J155" si="24">+I542-H542</f>
        <v>0</v>
      </c>
      <c r="K132" s="504"/>
      <c r="L132" s="512"/>
      <c r="M132" s="504">
        <f t="shared" ref="M132:M155" si="25">IF(L542&lt;&gt;0,+H542-L542,0)</f>
        <v>0</v>
      </c>
      <c r="N132" s="512"/>
      <c r="O132" s="504">
        <f t="shared" ref="O132:O155" si="26">IF(N542&lt;&gt;0,+I542-N542,0)</f>
        <v>0</v>
      </c>
      <c r="P132" s="504">
        <f t="shared" ref="P132:P155" si="27">+O542-M542</f>
        <v>0</v>
      </c>
    </row>
    <row r="133" spans="2:16">
      <c r="B133" s="145" t="str">
        <f t="shared" si="11"/>
        <v/>
      </c>
      <c r="C133" s="495">
        <f>IF(D94="","-",+C132+1)</f>
        <v>2051</v>
      </c>
      <c r="D133" s="349">
        <f>IF(F132+SUM(E$100:E132)=D$93,F132,D$93-SUM(E$100:E132))</f>
        <v>0</v>
      </c>
      <c r="E133" s="509">
        <f t="shared" si="18"/>
        <v>0</v>
      </c>
      <c r="F133" s="510">
        <f t="shared" si="19"/>
        <v>0</v>
      </c>
      <c r="G133" s="510">
        <f t="shared" si="20"/>
        <v>0</v>
      </c>
      <c r="H133" s="627">
        <f t="shared" si="21"/>
        <v>0</v>
      </c>
      <c r="I133" s="628">
        <f t="shared" si="22"/>
        <v>0</v>
      </c>
      <c r="J133" s="504">
        <f t="shared" si="24"/>
        <v>0</v>
      </c>
      <c r="K133" s="504"/>
      <c r="L133" s="512"/>
      <c r="M133" s="504">
        <f t="shared" si="25"/>
        <v>0</v>
      </c>
      <c r="N133" s="512"/>
      <c r="O133" s="504">
        <f t="shared" si="26"/>
        <v>0</v>
      </c>
      <c r="P133" s="504">
        <f t="shared" si="27"/>
        <v>0</v>
      </c>
    </row>
    <row r="134" spans="2:16">
      <c r="B134" s="145" t="str">
        <f t="shared" si="11"/>
        <v/>
      </c>
      <c r="C134" s="495">
        <f>IF(D94="","-",+C133+1)</f>
        <v>2052</v>
      </c>
      <c r="D134" s="349">
        <f>IF(F133+SUM(E$100:E133)=D$93,F133,D$93-SUM(E$100:E133))</f>
        <v>0</v>
      </c>
      <c r="E134" s="509">
        <f t="shared" si="18"/>
        <v>0</v>
      </c>
      <c r="F134" s="510">
        <f t="shared" si="19"/>
        <v>0</v>
      </c>
      <c r="G134" s="510">
        <f t="shared" si="20"/>
        <v>0</v>
      </c>
      <c r="H134" s="627">
        <f t="shared" si="21"/>
        <v>0</v>
      </c>
      <c r="I134" s="628">
        <f t="shared" si="22"/>
        <v>0</v>
      </c>
      <c r="J134" s="504">
        <f t="shared" si="24"/>
        <v>0</v>
      </c>
      <c r="K134" s="504"/>
      <c r="L134" s="512"/>
      <c r="M134" s="504">
        <f t="shared" si="25"/>
        <v>0</v>
      </c>
      <c r="N134" s="512"/>
      <c r="O134" s="504">
        <f t="shared" si="26"/>
        <v>0</v>
      </c>
      <c r="P134" s="504">
        <f t="shared" si="27"/>
        <v>0</v>
      </c>
    </row>
    <row r="135" spans="2:16">
      <c r="B135" s="145" t="str">
        <f t="shared" si="11"/>
        <v/>
      </c>
      <c r="C135" s="495">
        <f>IF(D94="","-",+C134+1)</f>
        <v>2053</v>
      </c>
      <c r="D135" s="349">
        <f>IF(F134+SUM(E$100:E134)=D$93,F134,D$93-SUM(E$100:E134))</f>
        <v>0</v>
      </c>
      <c r="E135" s="509">
        <f t="shared" si="18"/>
        <v>0</v>
      </c>
      <c r="F135" s="510">
        <f t="shared" si="19"/>
        <v>0</v>
      </c>
      <c r="G135" s="510">
        <f t="shared" si="20"/>
        <v>0</v>
      </c>
      <c r="H135" s="627">
        <f t="shared" si="21"/>
        <v>0</v>
      </c>
      <c r="I135" s="628">
        <f t="shared" si="22"/>
        <v>0</v>
      </c>
      <c r="J135" s="504">
        <f t="shared" si="24"/>
        <v>0</v>
      </c>
      <c r="K135" s="504"/>
      <c r="L135" s="512"/>
      <c r="M135" s="504">
        <f t="shared" si="25"/>
        <v>0</v>
      </c>
      <c r="N135" s="512"/>
      <c r="O135" s="504">
        <f t="shared" si="26"/>
        <v>0</v>
      </c>
      <c r="P135" s="504">
        <f t="shared" si="27"/>
        <v>0</v>
      </c>
    </row>
    <row r="136" spans="2:16">
      <c r="B136" s="145" t="str">
        <f t="shared" si="11"/>
        <v/>
      </c>
      <c r="C136" s="495">
        <f>IF(D94="","-",+C135+1)</f>
        <v>2054</v>
      </c>
      <c r="D136" s="349">
        <f>IF(F135+SUM(E$100:E135)=D$93,F135,D$93-SUM(E$100:E135))</f>
        <v>0</v>
      </c>
      <c r="E136" s="509">
        <f t="shared" si="18"/>
        <v>0</v>
      </c>
      <c r="F136" s="510">
        <f t="shared" si="19"/>
        <v>0</v>
      </c>
      <c r="G136" s="510">
        <f t="shared" si="20"/>
        <v>0</v>
      </c>
      <c r="H136" s="627">
        <f t="shared" si="21"/>
        <v>0</v>
      </c>
      <c r="I136" s="628">
        <f t="shared" si="22"/>
        <v>0</v>
      </c>
      <c r="J136" s="504">
        <f t="shared" si="24"/>
        <v>0</v>
      </c>
      <c r="K136" s="504"/>
      <c r="L136" s="512"/>
      <c r="M136" s="504">
        <f t="shared" si="25"/>
        <v>0</v>
      </c>
      <c r="N136" s="512"/>
      <c r="O136" s="504">
        <f t="shared" si="26"/>
        <v>0</v>
      </c>
      <c r="P136" s="504">
        <f t="shared" si="27"/>
        <v>0</v>
      </c>
    </row>
    <row r="137" spans="2:16">
      <c r="B137" s="145" t="str">
        <f t="shared" si="11"/>
        <v/>
      </c>
      <c r="C137" s="495">
        <f>IF(D94="","-",+C136+1)</f>
        <v>2055</v>
      </c>
      <c r="D137" s="349">
        <f>IF(F136+SUM(E$100:E136)=D$93,F136,D$93-SUM(E$100:E136))</f>
        <v>0</v>
      </c>
      <c r="E137" s="509">
        <f t="shared" si="18"/>
        <v>0</v>
      </c>
      <c r="F137" s="510">
        <f t="shared" si="19"/>
        <v>0</v>
      </c>
      <c r="G137" s="510">
        <f t="shared" si="20"/>
        <v>0</v>
      </c>
      <c r="H137" s="627">
        <f t="shared" si="21"/>
        <v>0</v>
      </c>
      <c r="I137" s="628">
        <f t="shared" si="22"/>
        <v>0</v>
      </c>
      <c r="J137" s="504">
        <f t="shared" si="24"/>
        <v>0</v>
      </c>
      <c r="K137" s="504"/>
      <c r="L137" s="512"/>
      <c r="M137" s="504">
        <f t="shared" si="25"/>
        <v>0</v>
      </c>
      <c r="N137" s="512"/>
      <c r="O137" s="504">
        <f t="shared" si="26"/>
        <v>0</v>
      </c>
      <c r="P137" s="504">
        <f t="shared" si="27"/>
        <v>0</v>
      </c>
    </row>
    <row r="138" spans="2:16">
      <c r="B138" s="145" t="str">
        <f t="shared" si="11"/>
        <v/>
      </c>
      <c r="C138" s="495">
        <f>IF(D94="","-",+C137+1)</f>
        <v>2056</v>
      </c>
      <c r="D138" s="349">
        <f>IF(F137+SUM(E$100:E137)=D$93,F137,D$93-SUM(E$100:E137))</f>
        <v>0</v>
      </c>
      <c r="E138" s="509">
        <f t="shared" si="18"/>
        <v>0</v>
      </c>
      <c r="F138" s="510">
        <f t="shared" si="19"/>
        <v>0</v>
      </c>
      <c r="G138" s="510">
        <f t="shared" si="20"/>
        <v>0</v>
      </c>
      <c r="H138" s="627">
        <f t="shared" si="21"/>
        <v>0</v>
      </c>
      <c r="I138" s="628">
        <f t="shared" si="22"/>
        <v>0</v>
      </c>
      <c r="J138" s="504">
        <f t="shared" si="24"/>
        <v>0</v>
      </c>
      <c r="K138" s="504"/>
      <c r="L138" s="512"/>
      <c r="M138" s="504">
        <f t="shared" si="25"/>
        <v>0</v>
      </c>
      <c r="N138" s="512"/>
      <c r="O138" s="504">
        <f t="shared" si="26"/>
        <v>0</v>
      </c>
      <c r="P138" s="504">
        <f t="shared" si="27"/>
        <v>0</v>
      </c>
    </row>
    <row r="139" spans="2:16">
      <c r="B139" s="145" t="str">
        <f t="shared" si="11"/>
        <v/>
      </c>
      <c r="C139" s="495">
        <f>IF(D94="","-",+C138+1)</f>
        <v>2057</v>
      </c>
      <c r="D139" s="349">
        <f>IF(F138+SUM(E$100:E138)=D$93,F138,D$93-SUM(E$100:E138))</f>
        <v>0</v>
      </c>
      <c r="E139" s="509">
        <f t="shared" si="18"/>
        <v>0</v>
      </c>
      <c r="F139" s="510">
        <f t="shared" si="19"/>
        <v>0</v>
      </c>
      <c r="G139" s="510">
        <f t="shared" si="20"/>
        <v>0</v>
      </c>
      <c r="H139" s="627">
        <f t="shared" si="21"/>
        <v>0</v>
      </c>
      <c r="I139" s="628">
        <f t="shared" si="22"/>
        <v>0</v>
      </c>
      <c r="J139" s="504">
        <f t="shared" si="24"/>
        <v>0</v>
      </c>
      <c r="K139" s="504"/>
      <c r="L139" s="512"/>
      <c r="M139" s="504">
        <f t="shared" si="25"/>
        <v>0</v>
      </c>
      <c r="N139" s="512"/>
      <c r="O139" s="504">
        <f t="shared" si="26"/>
        <v>0</v>
      </c>
      <c r="P139" s="504">
        <f t="shared" si="27"/>
        <v>0</v>
      </c>
    </row>
    <row r="140" spans="2:16">
      <c r="B140" s="145" t="str">
        <f t="shared" si="11"/>
        <v/>
      </c>
      <c r="C140" s="495">
        <f>IF(D94="","-",+C139+1)</f>
        <v>2058</v>
      </c>
      <c r="D140" s="349">
        <f>IF(F139+SUM(E$100:E139)=D$93,F139,D$93-SUM(E$100:E139))</f>
        <v>0</v>
      </c>
      <c r="E140" s="509">
        <f t="shared" si="18"/>
        <v>0</v>
      </c>
      <c r="F140" s="510">
        <f t="shared" si="19"/>
        <v>0</v>
      </c>
      <c r="G140" s="510">
        <f t="shared" si="20"/>
        <v>0</v>
      </c>
      <c r="H140" s="627">
        <f t="shared" si="21"/>
        <v>0</v>
      </c>
      <c r="I140" s="628">
        <f t="shared" si="22"/>
        <v>0</v>
      </c>
      <c r="J140" s="504">
        <f t="shared" si="24"/>
        <v>0</v>
      </c>
      <c r="K140" s="504"/>
      <c r="L140" s="512"/>
      <c r="M140" s="504">
        <f t="shared" si="25"/>
        <v>0</v>
      </c>
      <c r="N140" s="512"/>
      <c r="O140" s="504">
        <f t="shared" si="26"/>
        <v>0</v>
      </c>
      <c r="P140" s="504">
        <f t="shared" si="27"/>
        <v>0</v>
      </c>
    </row>
    <row r="141" spans="2:16">
      <c r="B141" s="145" t="str">
        <f t="shared" si="11"/>
        <v/>
      </c>
      <c r="C141" s="495">
        <f>IF(D94="","-",+C140+1)</f>
        <v>2059</v>
      </c>
      <c r="D141" s="349">
        <f>IF(F140+SUM(E$100:E140)=D$93,F140,D$93-SUM(E$100:E140))</f>
        <v>0</v>
      </c>
      <c r="E141" s="509">
        <f t="shared" si="18"/>
        <v>0</v>
      </c>
      <c r="F141" s="510">
        <f t="shared" si="19"/>
        <v>0</v>
      </c>
      <c r="G141" s="510">
        <f t="shared" si="20"/>
        <v>0</v>
      </c>
      <c r="H141" s="627">
        <f t="shared" si="21"/>
        <v>0</v>
      </c>
      <c r="I141" s="628">
        <f t="shared" si="22"/>
        <v>0</v>
      </c>
      <c r="J141" s="504">
        <f t="shared" si="24"/>
        <v>0</v>
      </c>
      <c r="K141" s="504"/>
      <c r="L141" s="512"/>
      <c r="M141" s="504">
        <f t="shared" si="25"/>
        <v>0</v>
      </c>
      <c r="N141" s="512"/>
      <c r="O141" s="504">
        <f t="shared" si="26"/>
        <v>0</v>
      </c>
      <c r="P141" s="504">
        <f t="shared" si="27"/>
        <v>0</v>
      </c>
    </row>
    <row r="142" spans="2:16">
      <c r="B142" s="145" t="str">
        <f t="shared" si="11"/>
        <v/>
      </c>
      <c r="C142" s="495">
        <f>IF(D94="","-",+C141+1)</f>
        <v>2060</v>
      </c>
      <c r="D142" s="349">
        <f>IF(F141+SUM(E$100:E141)=D$93,F141,D$93-SUM(E$100:E141))</f>
        <v>0</v>
      </c>
      <c r="E142" s="509">
        <f t="shared" si="18"/>
        <v>0</v>
      </c>
      <c r="F142" s="510">
        <f t="shared" si="19"/>
        <v>0</v>
      </c>
      <c r="G142" s="510">
        <f t="shared" si="20"/>
        <v>0</v>
      </c>
      <c r="H142" s="627">
        <f t="shared" si="21"/>
        <v>0</v>
      </c>
      <c r="I142" s="628">
        <f t="shared" si="22"/>
        <v>0</v>
      </c>
      <c r="J142" s="504">
        <f t="shared" si="24"/>
        <v>0</v>
      </c>
      <c r="K142" s="504"/>
      <c r="L142" s="512"/>
      <c r="M142" s="504">
        <f t="shared" si="25"/>
        <v>0</v>
      </c>
      <c r="N142" s="512"/>
      <c r="O142" s="504">
        <f t="shared" si="26"/>
        <v>0</v>
      </c>
      <c r="P142" s="504">
        <f t="shared" si="27"/>
        <v>0</v>
      </c>
    </row>
    <row r="143" spans="2:16">
      <c r="B143" s="145" t="str">
        <f t="shared" si="11"/>
        <v/>
      </c>
      <c r="C143" s="495">
        <f>IF(D94="","-",+C142+1)</f>
        <v>2061</v>
      </c>
      <c r="D143" s="349">
        <f>IF(F142+SUM(E$100:E142)=D$93,F142,D$93-SUM(E$100:E142))</f>
        <v>0</v>
      </c>
      <c r="E143" s="509">
        <f t="shared" si="18"/>
        <v>0</v>
      </c>
      <c r="F143" s="510">
        <f t="shared" si="19"/>
        <v>0</v>
      </c>
      <c r="G143" s="510">
        <f t="shared" si="20"/>
        <v>0</v>
      </c>
      <c r="H143" s="627">
        <f t="shared" si="21"/>
        <v>0</v>
      </c>
      <c r="I143" s="628">
        <f t="shared" si="22"/>
        <v>0</v>
      </c>
      <c r="J143" s="504">
        <f t="shared" si="24"/>
        <v>0</v>
      </c>
      <c r="K143" s="504"/>
      <c r="L143" s="512"/>
      <c r="M143" s="504">
        <f t="shared" si="25"/>
        <v>0</v>
      </c>
      <c r="N143" s="512"/>
      <c r="O143" s="504">
        <f t="shared" si="26"/>
        <v>0</v>
      </c>
      <c r="P143" s="504">
        <f t="shared" si="27"/>
        <v>0</v>
      </c>
    </row>
    <row r="144" spans="2:16">
      <c r="B144" s="145" t="str">
        <f t="shared" si="11"/>
        <v/>
      </c>
      <c r="C144" s="495">
        <f>IF(D94="","-",+C143+1)</f>
        <v>2062</v>
      </c>
      <c r="D144" s="349">
        <f>IF(F143+SUM(E$100:E143)=D$93,F143,D$93-SUM(E$100:E143))</f>
        <v>0</v>
      </c>
      <c r="E144" s="509">
        <f t="shared" si="18"/>
        <v>0</v>
      </c>
      <c r="F144" s="510">
        <f t="shared" si="19"/>
        <v>0</v>
      </c>
      <c r="G144" s="510">
        <f t="shared" si="20"/>
        <v>0</v>
      </c>
      <c r="H144" s="627">
        <f t="shared" si="21"/>
        <v>0</v>
      </c>
      <c r="I144" s="628">
        <f t="shared" si="22"/>
        <v>0</v>
      </c>
      <c r="J144" s="504">
        <f t="shared" si="24"/>
        <v>0</v>
      </c>
      <c r="K144" s="504"/>
      <c r="L144" s="512"/>
      <c r="M144" s="504">
        <f t="shared" si="25"/>
        <v>0</v>
      </c>
      <c r="N144" s="512"/>
      <c r="O144" s="504">
        <f t="shared" si="26"/>
        <v>0</v>
      </c>
      <c r="P144" s="504">
        <f t="shared" si="27"/>
        <v>0</v>
      </c>
    </row>
    <row r="145" spans="2:16">
      <c r="B145" s="145" t="str">
        <f t="shared" si="11"/>
        <v/>
      </c>
      <c r="C145" s="495">
        <f>IF(D94="","-",+C144+1)</f>
        <v>2063</v>
      </c>
      <c r="D145" s="349">
        <f>IF(F144+SUM(E$100:E144)=D$93,F144,D$93-SUM(E$100:E144))</f>
        <v>0</v>
      </c>
      <c r="E145" s="509">
        <f t="shared" si="18"/>
        <v>0</v>
      </c>
      <c r="F145" s="510">
        <f t="shared" si="19"/>
        <v>0</v>
      </c>
      <c r="G145" s="510">
        <f t="shared" si="20"/>
        <v>0</v>
      </c>
      <c r="H145" s="627">
        <f t="shared" si="21"/>
        <v>0</v>
      </c>
      <c r="I145" s="628">
        <f t="shared" si="22"/>
        <v>0</v>
      </c>
      <c r="J145" s="504">
        <f t="shared" si="24"/>
        <v>0</v>
      </c>
      <c r="K145" s="504"/>
      <c r="L145" s="512"/>
      <c r="M145" s="504">
        <f t="shared" si="25"/>
        <v>0</v>
      </c>
      <c r="N145" s="512"/>
      <c r="O145" s="504">
        <f t="shared" si="26"/>
        <v>0</v>
      </c>
      <c r="P145" s="504">
        <f t="shared" si="27"/>
        <v>0</v>
      </c>
    </row>
    <row r="146" spans="2:16">
      <c r="B146" s="145" t="str">
        <f t="shared" si="11"/>
        <v/>
      </c>
      <c r="C146" s="495">
        <f>IF(D94="","-",+C145+1)</f>
        <v>2064</v>
      </c>
      <c r="D146" s="349">
        <f>IF(F145+SUM(E$100:E145)=D$93,F145,D$93-SUM(E$100:E145))</f>
        <v>0</v>
      </c>
      <c r="E146" s="509">
        <f t="shared" si="18"/>
        <v>0</v>
      </c>
      <c r="F146" s="510">
        <f t="shared" si="19"/>
        <v>0</v>
      </c>
      <c r="G146" s="510">
        <f t="shared" si="20"/>
        <v>0</v>
      </c>
      <c r="H146" s="627">
        <f t="shared" si="21"/>
        <v>0</v>
      </c>
      <c r="I146" s="628">
        <f t="shared" si="22"/>
        <v>0</v>
      </c>
      <c r="J146" s="504">
        <f t="shared" si="24"/>
        <v>0</v>
      </c>
      <c r="K146" s="504"/>
      <c r="L146" s="512"/>
      <c r="M146" s="504">
        <f t="shared" si="25"/>
        <v>0</v>
      </c>
      <c r="N146" s="512"/>
      <c r="O146" s="504">
        <f t="shared" si="26"/>
        <v>0</v>
      </c>
      <c r="P146" s="504">
        <f t="shared" si="27"/>
        <v>0</v>
      </c>
    </row>
    <row r="147" spans="2:16">
      <c r="B147" s="145" t="str">
        <f t="shared" si="11"/>
        <v/>
      </c>
      <c r="C147" s="495">
        <f>IF(D94="","-",+C146+1)</f>
        <v>2065</v>
      </c>
      <c r="D147" s="349">
        <f>IF(F146+SUM(E$100:E146)=D$93,F146,D$93-SUM(E$100:E146))</f>
        <v>0</v>
      </c>
      <c r="E147" s="509">
        <f t="shared" si="18"/>
        <v>0</v>
      </c>
      <c r="F147" s="510">
        <f t="shared" si="19"/>
        <v>0</v>
      </c>
      <c r="G147" s="510">
        <f t="shared" si="20"/>
        <v>0</v>
      </c>
      <c r="H147" s="627">
        <f t="shared" si="21"/>
        <v>0</v>
      </c>
      <c r="I147" s="628">
        <f t="shared" si="22"/>
        <v>0</v>
      </c>
      <c r="J147" s="504">
        <f t="shared" si="24"/>
        <v>0</v>
      </c>
      <c r="K147" s="504"/>
      <c r="L147" s="512"/>
      <c r="M147" s="504">
        <f t="shared" si="25"/>
        <v>0</v>
      </c>
      <c r="N147" s="512"/>
      <c r="O147" s="504">
        <f t="shared" si="26"/>
        <v>0</v>
      </c>
      <c r="P147" s="504">
        <f t="shared" si="27"/>
        <v>0</v>
      </c>
    </row>
    <row r="148" spans="2:16">
      <c r="B148" s="145" t="str">
        <f t="shared" si="11"/>
        <v/>
      </c>
      <c r="C148" s="495">
        <f>IF(D94="","-",+C147+1)</f>
        <v>2066</v>
      </c>
      <c r="D148" s="349">
        <f>IF(F147+SUM(E$100:E147)=D$93,F147,D$93-SUM(E$100:E147))</f>
        <v>0</v>
      </c>
      <c r="E148" s="509">
        <f t="shared" si="18"/>
        <v>0</v>
      </c>
      <c r="F148" s="510">
        <f t="shared" si="19"/>
        <v>0</v>
      </c>
      <c r="G148" s="510">
        <f t="shared" si="20"/>
        <v>0</v>
      </c>
      <c r="H148" s="627">
        <f t="shared" si="21"/>
        <v>0</v>
      </c>
      <c r="I148" s="628">
        <f t="shared" si="22"/>
        <v>0</v>
      </c>
      <c r="J148" s="504">
        <f t="shared" si="24"/>
        <v>0</v>
      </c>
      <c r="K148" s="504"/>
      <c r="L148" s="512"/>
      <c r="M148" s="504">
        <f t="shared" si="25"/>
        <v>0</v>
      </c>
      <c r="N148" s="512"/>
      <c r="O148" s="504">
        <f t="shared" si="26"/>
        <v>0</v>
      </c>
      <c r="P148" s="504">
        <f t="shared" si="27"/>
        <v>0</v>
      </c>
    </row>
    <row r="149" spans="2:16">
      <c r="B149" s="145" t="str">
        <f t="shared" si="11"/>
        <v/>
      </c>
      <c r="C149" s="495">
        <f>IF(D94="","-",+C148+1)</f>
        <v>2067</v>
      </c>
      <c r="D149" s="349">
        <f>IF(F148+SUM(E$100:E148)=D$93,F148,D$93-SUM(E$100:E148))</f>
        <v>0</v>
      </c>
      <c r="E149" s="509">
        <f t="shared" si="18"/>
        <v>0</v>
      </c>
      <c r="F149" s="510">
        <f t="shared" si="19"/>
        <v>0</v>
      </c>
      <c r="G149" s="510">
        <f t="shared" si="20"/>
        <v>0</v>
      </c>
      <c r="H149" s="627">
        <f t="shared" si="21"/>
        <v>0</v>
      </c>
      <c r="I149" s="628">
        <f t="shared" si="22"/>
        <v>0</v>
      </c>
      <c r="J149" s="504">
        <f t="shared" si="24"/>
        <v>0</v>
      </c>
      <c r="K149" s="504"/>
      <c r="L149" s="512"/>
      <c r="M149" s="504">
        <f t="shared" si="25"/>
        <v>0</v>
      </c>
      <c r="N149" s="512"/>
      <c r="O149" s="504">
        <f t="shared" si="26"/>
        <v>0</v>
      </c>
      <c r="P149" s="504">
        <f t="shared" si="27"/>
        <v>0</v>
      </c>
    </row>
    <row r="150" spans="2:16">
      <c r="B150" s="145" t="str">
        <f t="shared" si="11"/>
        <v/>
      </c>
      <c r="C150" s="495">
        <f>IF(D94="","-",+C149+1)</f>
        <v>2068</v>
      </c>
      <c r="D150" s="349">
        <f>IF(F149+SUM(E$100:E149)=D$93,F149,D$93-SUM(E$100:E149))</f>
        <v>0</v>
      </c>
      <c r="E150" s="509">
        <f t="shared" si="18"/>
        <v>0</v>
      </c>
      <c r="F150" s="510">
        <f t="shared" si="19"/>
        <v>0</v>
      </c>
      <c r="G150" s="510">
        <f t="shared" si="20"/>
        <v>0</v>
      </c>
      <c r="H150" s="627">
        <f t="shared" si="21"/>
        <v>0</v>
      </c>
      <c r="I150" s="628">
        <f t="shared" si="22"/>
        <v>0</v>
      </c>
      <c r="J150" s="504">
        <f t="shared" si="24"/>
        <v>0</v>
      </c>
      <c r="K150" s="504"/>
      <c r="L150" s="512"/>
      <c r="M150" s="504">
        <f t="shared" si="25"/>
        <v>0</v>
      </c>
      <c r="N150" s="512"/>
      <c r="O150" s="504">
        <f t="shared" si="26"/>
        <v>0</v>
      </c>
      <c r="P150" s="504">
        <f t="shared" si="27"/>
        <v>0</v>
      </c>
    </row>
    <row r="151" spans="2:16">
      <c r="B151" s="145" t="str">
        <f t="shared" si="11"/>
        <v/>
      </c>
      <c r="C151" s="495">
        <f>IF(D94="","-",+C150+1)</f>
        <v>2069</v>
      </c>
      <c r="D151" s="349">
        <f>IF(F150+SUM(E$100:E150)=D$93,F150,D$93-SUM(E$100:E150))</f>
        <v>0</v>
      </c>
      <c r="E151" s="509">
        <f t="shared" si="18"/>
        <v>0</v>
      </c>
      <c r="F151" s="510">
        <f t="shared" si="19"/>
        <v>0</v>
      </c>
      <c r="G151" s="510">
        <f t="shared" si="20"/>
        <v>0</v>
      </c>
      <c r="H151" s="627">
        <f t="shared" si="21"/>
        <v>0</v>
      </c>
      <c r="I151" s="628">
        <f t="shared" si="22"/>
        <v>0</v>
      </c>
      <c r="J151" s="504">
        <f t="shared" si="24"/>
        <v>0</v>
      </c>
      <c r="K151" s="504"/>
      <c r="L151" s="512"/>
      <c r="M151" s="504">
        <f t="shared" si="25"/>
        <v>0</v>
      </c>
      <c r="N151" s="512"/>
      <c r="O151" s="504">
        <f t="shared" si="26"/>
        <v>0</v>
      </c>
      <c r="P151" s="504">
        <f t="shared" si="27"/>
        <v>0</v>
      </c>
    </row>
    <row r="152" spans="2:16">
      <c r="B152" s="145" t="str">
        <f t="shared" si="11"/>
        <v/>
      </c>
      <c r="C152" s="495">
        <f>IF(D94="","-",+C151+1)</f>
        <v>2070</v>
      </c>
      <c r="D152" s="349">
        <f>IF(F151+SUM(E$100:E151)=D$93,F151,D$93-SUM(E$100:E151))</f>
        <v>0</v>
      </c>
      <c r="E152" s="509">
        <f t="shared" si="18"/>
        <v>0</v>
      </c>
      <c r="F152" s="510">
        <f t="shared" si="19"/>
        <v>0</v>
      </c>
      <c r="G152" s="510">
        <f t="shared" si="20"/>
        <v>0</v>
      </c>
      <c r="H152" s="627">
        <f t="shared" si="21"/>
        <v>0</v>
      </c>
      <c r="I152" s="628">
        <f t="shared" si="22"/>
        <v>0</v>
      </c>
      <c r="J152" s="504">
        <f t="shared" si="24"/>
        <v>0</v>
      </c>
      <c r="K152" s="504"/>
      <c r="L152" s="512"/>
      <c r="M152" s="504">
        <f t="shared" si="25"/>
        <v>0</v>
      </c>
      <c r="N152" s="512"/>
      <c r="O152" s="504">
        <f t="shared" si="26"/>
        <v>0</v>
      </c>
      <c r="P152" s="504">
        <f t="shared" si="27"/>
        <v>0</v>
      </c>
    </row>
    <row r="153" spans="2:16">
      <c r="B153" s="145" t="str">
        <f t="shared" si="11"/>
        <v/>
      </c>
      <c r="C153" s="495">
        <f>IF(D94="","-",+C152+1)</f>
        <v>2071</v>
      </c>
      <c r="D153" s="349">
        <f>IF(F152+SUM(E$100:E152)=D$93,F152,D$93-SUM(E$100:E152))</f>
        <v>0</v>
      </c>
      <c r="E153" s="509">
        <f t="shared" si="18"/>
        <v>0</v>
      </c>
      <c r="F153" s="510">
        <f t="shared" si="19"/>
        <v>0</v>
      </c>
      <c r="G153" s="510">
        <f t="shared" si="20"/>
        <v>0</v>
      </c>
      <c r="H153" s="627">
        <f t="shared" si="21"/>
        <v>0</v>
      </c>
      <c r="I153" s="628">
        <f t="shared" si="22"/>
        <v>0</v>
      </c>
      <c r="J153" s="504">
        <f t="shared" si="24"/>
        <v>0</v>
      </c>
      <c r="K153" s="504"/>
      <c r="L153" s="512"/>
      <c r="M153" s="504">
        <f t="shared" si="25"/>
        <v>0</v>
      </c>
      <c r="N153" s="512"/>
      <c r="O153" s="504">
        <f t="shared" si="26"/>
        <v>0</v>
      </c>
      <c r="P153" s="504">
        <f t="shared" si="27"/>
        <v>0</v>
      </c>
    </row>
    <row r="154" spans="2:16">
      <c r="B154" s="145" t="str">
        <f t="shared" si="11"/>
        <v/>
      </c>
      <c r="C154" s="495">
        <f>IF(D94="","-",+C153+1)</f>
        <v>2072</v>
      </c>
      <c r="D154" s="349">
        <f>IF(F153+SUM(E$100:E153)=D$93,F153,D$93-SUM(E$100:E153))</f>
        <v>0</v>
      </c>
      <c r="E154" s="509">
        <f t="shared" si="18"/>
        <v>0</v>
      </c>
      <c r="F154" s="510">
        <f t="shared" si="19"/>
        <v>0</v>
      </c>
      <c r="G154" s="510">
        <f t="shared" si="20"/>
        <v>0</v>
      </c>
      <c r="H154" s="627">
        <f t="shared" si="21"/>
        <v>0</v>
      </c>
      <c r="I154" s="628">
        <f t="shared" si="22"/>
        <v>0</v>
      </c>
      <c r="J154" s="504">
        <f t="shared" si="24"/>
        <v>0</v>
      </c>
      <c r="K154" s="504"/>
      <c r="L154" s="512"/>
      <c r="M154" s="504">
        <f t="shared" si="25"/>
        <v>0</v>
      </c>
      <c r="N154" s="512"/>
      <c r="O154" s="504">
        <f t="shared" si="26"/>
        <v>0</v>
      </c>
      <c r="P154" s="504">
        <f t="shared" si="27"/>
        <v>0</v>
      </c>
    </row>
    <row r="155" spans="2:16" ht="13.5" thickBot="1">
      <c r="B155" s="145" t="str">
        <f t="shared" si="11"/>
        <v/>
      </c>
      <c r="C155" s="524">
        <f>IF(D94="","-",+C154+1)</f>
        <v>2073</v>
      </c>
      <c r="D155" s="638">
        <f>IF(F154+SUM(E$100:E154)=D$93,F154,D$93-SUM(E$100:E154))</f>
        <v>0</v>
      </c>
      <c r="E155" s="526">
        <f t="shared" si="18"/>
        <v>0</v>
      </c>
      <c r="F155" s="527">
        <f t="shared" si="19"/>
        <v>0</v>
      </c>
      <c r="G155" s="527">
        <f t="shared" si="20"/>
        <v>0</v>
      </c>
      <c r="H155" s="623">
        <f t="shared" si="21"/>
        <v>0</v>
      </c>
      <c r="I155" s="624">
        <f t="shared" si="22"/>
        <v>0</v>
      </c>
      <c r="J155" s="531">
        <f t="shared" si="24"/>
        <v>0</v>
      </c>
      <c r="K155" s="504"/>
      <c r="L155" s="530"/>
      <c r="M155" s="531">
        <f t="shared" si="25"/>
        <v>0</v>
      </c>
      <c r="N155" s="530"/>
      <c r="O155" s="531">
        <f t="shared" si="26"/>
        <v>0</v>
      </c>
      <c r="P155" s="531">
        <f t="shared" si="27"/>
        <v>0</v>
      </c>
    </row>
    <row r="156" spans="2:16">
      <c r="C156" s="349" t="s">
        <v>75</v>
      </c>
      <c r="D156" s="294"/>
      <c r="E156" s="294">
        <f>SUM(E100:E155)</f>
        <v>17093279.999999996</v>
      </c>
      <c r="F156" s="294"/>
      <c r="G156" s="294"/>
      <c r="H156" s="294">
        <f>SUM(H100:H155)</f>
        <v>39159767.177803792</v>
      </c>
      <c r="I156" s="294">
        <f>SUM(I100:I155)</f>
        <v>39159767.177803792</v>
      </c>
      <c r="J156" s="294">
        <f>SUM(J100:J155)</f>
        <v>0</v>
      </c>
      <c r="K156" s="294"/>
      <c r="L156" s="294"/>
      <c r="M156" s="294"/>
      <c r="N156" s="294"/>
      <c r="O156" s="294"/>
      <c r="P156" s="243"/>
    </row>
    <row r="157" spans="2:16">
      <c r="C157" s="145" t="s">
        <v>90</v>
      </c>
      <c r="D157" s="292"/>
      <c r="E157" s="243"/>
      <c r="F157" s="243"/>
      <c r="G157" s="243"/>
      <c r="H157" s="243"/>
      <c r="I157" s="325"/>
      <c r="J157" s="325"/>
      <c r="K157" s="294"/>
      <c r="L157" s="325"/>
      <c r="M157" s="325"/>
      <c r="N157" s="325"/>
      <c r="O157" s="325"/>
      <c r="P157" s="243"/>
    </row>
    <row r="158" spans="2:16">
      <c r="C158" s="574"/>
      <c r="D158" s="292"/>
      <c r="E158" s="243"/>
      <c r="F158" s="243"/>
      <c r="G158" s="243"/>
      <c r="H158" s="243"/>
      <c r="I158" s="325"/>
      <c r="J158" s="325"/>
      <c r="K158" s="294"/>
      <c r="L158" s="325"/>
      <c r="M158" s="325"/>
      <c r="N158" s="325"/>
      <c r="O158" s="325"/>
      <c r="P158" s="243"/>
    </row>
    <row r="159" spans="2:16">
      <c r="C159" s="619" t="s">
        <v>130</v>
      </c>
      <c r="D159" s="292"/>
      <c r="E159" s="243"/>
      <c r="F159" s="243"/>
      <c r="G159" s="243"/>
      <c r="H159" s="243"/>
      <c r="I159" s="325"/>
      <c r="J159" s="325"/>
      <c r="K159" s="294"/>
      <c r="L159" s="325"/>
      <c r="M159" s="325"/>
      <c r="N159" s="325"/>
      <c r="O159" s="325"/>
      <c r="P159" s="243"/>
    </row>
    <row r="160" spans="2:16">
      <c r="C160" s="454" t="s">
        <v>76</v>
      </c>
      <c r="D160" s="349"/>
      <c r="E160" s="349"/>
      <c r="F160" s="349"/>
      <c r="G160" s="349"/>
      <c r="H160" s="294"/>
      <c r="I160" s="294"/>
      <c r="J160" s="350"/>
      <c r="K160" s="350"/>
      <c r="L160" s="350"/>
      <c r="M160" s="350"/>
      <c r="N160" s="350"/>
      <c r="O160" s="350"/>
      <c r="P160" s="243"/>
    </row>
    <row r="161" spans="3:16">
      <c r="C161" s="575" t="s">
        <v>77</v>
      </c>
      <c r="D161" s="349"/>
      <c r="E161" s="349"/>
      <c r="F161" s="349"/>
      <c r="G161" s="349"/>
      <c r="H161" s="294"/>
      <c r="I161" s="294"/>
      <c r="J161" s="350"/>
      <c r="K161" s="350"/>
      <c r="L161" s="350"/>
      <c r="M161" s="350"/>
      <c r="N161" s="350"/>
      <c r="O161" s="350"/>
      <c r="P161" s="243"/>
    </row>
    <row r="162" spans="3:16">
      <c r="C162" s="575"/>
      <c r="D162" s="349"/>
      <c r="E162" s="349"/>
      <c r="F162" s="349"/>
      <c r="G162" s="349"/>
      <c r="H162" s="294"/>
      <c r="I162" s="294"/>
      <c r="J162" s="350"/>
      <c r="K162" s="350"/>
      <c r="L162" s="350"/>
      <c r="M162" s="350"/>
      <c r="N162" s="350"/>
      <c r="O162" s="350"/>
      <c r="P162" s="243"/>
    </row>
    <row r="163" spans="3:16" ht="18">
      <c r="C163" s="575"/>
      <c r="D163" s="349"/>
      <c r="E163" s="349"/>
      <c r="F163" s="349"/>
      <c r="G163" s="349"/>
      <c r="H163" s="294"/>
      <c r="I163" s="294"/>
      <c r="J163" s="350"/>
      <c r="K163" s="350"/>
      <c r="L163" s="350"/>
      <c r="M163" s="350"/>
      <c r="N163" s="350"/>
      <c r="P163" s="583" t="s">
        <v>129</v>
      </c>
    </row>
  </sheetData>
  <conditionalFormatting sqref="C17:C71 C73">
    <cfRule type="cellIs" dxfId="20" priority="2" stopIfTrue="1" operator="equal">
      <formula>$I$10</formula>
    </cfRule>
  </conditionalFormatting>
  <conditionalFormatting sqref="C100:C155">
    <cfRule type="cellIs" dxfId="19" priority="3" stopIfTrue="1" operator="equal">
      <formula>$J$93</formula>
    </cfRule>
  </conditionalFormatting>
  <conditionalFormatting sqref="C72">
    <cfRule type="cellIs" dxfId="18"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topLeftCell="A4" zoomScale="85" zoomScaleNormal="85"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9.140625" style="145" customWidth="1"/>
    <col min="18" max="22" width="8.7109375" style="145"/>
    <col min="23" max="23" width="9.140625" style="145" customWidth="1"/>
    <col min="24" max="16384" width="8.7109375" style="145"/>
  </cols>
  <sheetData>
    <row r="1" spans="1:16" ht="20.25">
      <c r="A1" s="437" t="s">
        <v>189</v>
      </c>
      <c r="B1" s="243"/>
      <c r="C1" s="248"/>
      <c r="D1" s="292"/>
      <c r="E1" s="243"/>
      <c r="F1" s="339"/>
      <c r="G1" s="243"/>
      <c r="H1" s="325"/>
      <c r="J1" s="220"/>
      <c r="K1" s="438"/>
      <c r="L1" s="438"/>
      <c r="M1" s="438"/>
      <c r="P1" s="439" t="str">
        <f ca="1">"OKT Project "&amp;RIGHT(MID(CELL("filename",$A$1),FIND("]",CELL("filename",$A$1))+1,256),2)&amp;" of "&amp;COUNT('OKT.001:OKT.xyz - blank'!$P$3)-1</f>
        <v>OKT Project 19 of 23</v>
      </c>
    </row>
    <row r="2" spans="1:16" ht="18">
      <c r="B2" s="243"/>
      <c r="C2" s="243"/>
      <c r="D2" s="292"/>
      <c r="E2" s="243"/>
      <c r="F2" s="243"/>
      <c r="G2" s="243"/>
      <c r="H2" s="325"/>
      <c r="I2" s="243"/>
      <c r="J2" s="278"/>
      <c r="K2" s="243"/>
      <c r="L2" s="243"/>
      <c r="M2" s="243"/>
      <c r="N2" s="243"/>
      <c r="P2" s="441" t="s">
        <v>131</v>
      </c>
    </row>
    <row r="3" spans="1:16" ht="18.75">
      <c r="B3" s="233" t="s">
        <v>42</v>
      </c>
      <c r="C3" s="305" t="s">
        <v>43</v>
      </c>
      <c r="D3" s="292"/>
      <c r="E3" s="243"/>
      <c r="F3" s="243"/>
      <c r="G3" s="243"/>
      <c r="H3" s="325"/>
      <c r="I3" s="325"/>
      <c r="J3" s="294"/>
      <c r="K3" s="325"/>
      <c r="L3" s="325"/>
      <c r="M3" s="325"/>
      <c r="N3" s="325"/>
      <c r="O3" s="243"/>
      <c r="P3" s="577">
        <v>1</v>
      </c>
    </row>
    <row r="4" spans="1:16" ht="15.75" thickBot="1">
      <c r="C4" s="304"/>
      <c r="D4" s="292"/>
      <c r="E4" s="243"/>
      <c r="F4" s="243"/>
      <c r="G4" s="243"/>
      <c r="H4" s="325"/>
      <c r="I4" s="325"/>
      <c r="J4" s="294"/>
      <c r="K4" s="325"/>
      <c r="L4" s="325"/>
      <c r="M4" s="325"/>
      <c r="N4" s="325"/>
      <c r="O4" s="243"/>
      <c r="P4" s="243"/>
    </row>
    <row r="5" spans="1:16" ht="15">
      <c r="C5" s="443" t="s">
        <v>44</v>
      </c>
      <c r="D5" s="292"/>
      <c r="E5" s="243"/>
      <c r="F5" s="243"/>
      <c r="G5" s="444"/>
      <c r="H5" s="243" t="s">
        <v>45</v>
      </c>
      <c r="I5" s="243"/>
      <c r="J5" s="278"/>
      <c r="K5" s="445" t="s">
        <v>242</v>
      </c>
      <c r="L5" s="446"/>
      <c r="M5" s="447"/>
      <c r="N5" s="448">
        <f>VLOOKUP(I10,C17:I73,5)</f>
        <v>1188202.637458564</v>
      </c>
      <c r="P5" s="243"/>
    </row>
    <row r="6" spans="1:16" ht="15.75">
      <c r="C6" s="235"/>
      <c r="D6" s="292"/>
      <c r="E6" s="243"/>
      <c r="F6" s="243"/>
      <c r="G6" s="243"/>
      <c r="H6" s="449"/>
      <c r="I6" s="449"/>
      <c r="J6" s="450"/>
      <c r="K6" s="451" t="s">
        <v>243</v>
      </c>
      <c r="L6" s="452"/>
      <c r="M6" s="278"/>
      <c r="N6" s="453">
        <f>VLOOKUP(I10,C17:I73,6)</f>
        <v>1188202.637458564</v>
      </c>
      <c r="O6" s="243"/>
      <c r="P6" s="243"/>
    </row>
    <row r="7" spans="1:16" ht="13.5" thickBot="1">
      <c r="C7" s="454" t="s">
        <v>46</v>
      </c>
      <c r="D7" s="637" t="s">
        <v>263</v>
      </c>
      <c r="E7" s="243"/>
      <c r="F7" s="243"/>
      <c r="G7" s="243"/>
      <c r="H7" s="325"/>
      <c r="I7" s="325"/>
      <c r="J7" s="294"/>
      <c r="K7" s="456" t="s">
        <v>47</v>
      </c>
      <c r="L7" s="457"/>
      <c r="M7" s="457"/>
      <c r="N7" s="458">
        <f>+N6-N5</f>
        <v>0</v>
      </c>
      <c r="O7" s="243"/>
      <c r="P7" s="243"/>
    </row>
    <row r="8" spans="1:16" ht="13.5" thickBot="1">
      <c r="C8" s="459"/>
      <c r="D8" s="460" t="str">
        <f>IF(D10&lt;100000,"DOES NOT MEET SPP $100,000 MINIMUM INVESTMENT FOR REGIONAL BPU SHARING.","")</f>
        <v/>
      </c>
      <c r="E8" s="461"/>
      <c r="F8" s="461"/>
      <c r="G8" s="461"/>
      <c r="H8" s="461"/>
      <c r="I8" s="461"/>
      <c r="J8" s="462"/>
      <c r="K8" s="461"/>
      <c r="L8" s="461"/>
      <c r="M8" s="461"/>
      <c r="N8" s="461"/>
      <c r="O8" s="462"/>
      <c r="P8" s="248"/>
    </row>
    <row r="9" spans="1:16" ht="13.5" thickBot="1">
      <c r="C9" s="463" t="s">
        <v>48</v>
      </c>
      <c r="D9" s="464" t="s">
        <v>265</v>
      </c>
      <c r="E9" s="647" t="s">
        <v>295</v>
      </c>
      <c r="F9" s="465"/>
      <c r="G9" s="465"/>
      <c r="H9" s="465"/>
      <c r="I9" s="466"/>
      <c r="J9" s="467"/>
      <c r="O9" s="468"/>
      <c r="P9" s="278"/>
    </row>
    <row r="10" spans="1:16">
      <c r="C10" s="469" t="s">
        <v>49</v>
      </c>
      <c r="D10" s="470">
        <v>8934664</v>
      </c>
      <c r="E10" s="299" t="s">
        <v>50</v>
      </c>
      <c r="F10" s="468"/>
      <c r="G10" s="408"/>
      <c r="H10" s="408"/>
      <c r="I10" s="471">
        <f>+OKT.WS.F.BPU.ATRR.Projected!R101</f>
        <v>2022</v>
      </c>
      <c r="J10" s="467"/>
      <c r="K10" s="294" t="s">
        <v>51</v>
      </c>
      <c r="O10" s="278"/>
      <c r="P10" s="278"/>
    </row>
    <row r="11" spans="1:16">
      <c r="C11" s="472" t="s">
        <v>52</v>
      </c>
      <c r="D11" s="473">
        <v>2018</v>
      </c>
      <c r="E11" s="472" t="s">
        <v>53</v>
      </c>
      <c r="F11" s="408"/>
      <c r="G11" s="220"/>
      <c r="H11" s="220"/>
      <c r="I11" s="474">
        <f>IF(G5="",0,OKT.WS.F.BPU.ATRR.Projected!F$13)</f>
        <v>0</v>
      </c>
      <c r="J11" s="475"/>
      <c r="K11" s="145" t="str">
        <f>"          INPUT PROJECTED ARR (WITH &amp; WITHOUT INCENTIVES) FROM EACH PRIOR YEAR"</f>
        <v xml:space="preserve">          INPUT PROJECTED ARR (WITH &amp; WITHOUT INCENTIVES) FROM EACH PRIOR YEAR</v>
      </c>
      <c r="O11" s="278"/>
      <c r="P11" s="278"/>
    </row>
    <row r="12" spans="1:16">
      <c r="C12" s="472" t="s">
        <v>54</v>
      </c>
      <c r="D12" s="470">
        <v>5</v>
      </c>
      <c r="E12" s="472" t="s">
        <v>55</v>
      </c>
      <c r="F12" s="408"/>
      <c r="G12" s="220"/>
      <c r="H12" s="220"/>
      <c r="I12" s="476">
        <f>OKT.WS.F.BPU.ATRR.Projected!$F$79</f>
        <v>0.11475877389767174</v>
      </c>
      <c r="J12" s="413"/>
      <c r="K12" s="145" t="s">
        <v>56</v>
      </c>
      <c r="O12" s="278"/>
      <c r="P12" s="278"/>
    </row>
    <row r="13" spans="1:16">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row>
    <row r="14" spans="1:16" ht="13.5" thickBot="1">
      <c r="C14" s="472" t="s">
        <v>60</v>
      </c>
      <c r="D14" s="473" t="s">
        <v>61</v>
      </c>
      <c r="E14" s="278" t="s">
        <v>62</v>
      </c>
      <c r="F14" s="408"/>
      <c r="G14" s="220"/>
      <c r="H14" s="220"/>
      <c r="I14" s="477">
        <f>IF(D10=0,0,D10/D13)</f>
        <v>270747.39393939392</v>
      </c>
      <c r="J14" s="294"/>
      <c r="K14" s="294"/>
      <c r="L14" s="294"/>
      <c r="M14" s="294"/>
      <c r="N14" s="294"/>
      <c r="O14" s="278"/>
      <c r="P14" s="278"/>
    </row>
    <row r="15" spans="1:16"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row>
    <row r="16" spans="1:16"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row>
    <row r="17" spans="2:16">
      <c r="B17" s="145" t="str">
        <f t="shared" ref="B17:B71" si="0">IF(D17=F16,"","IU")</f>
        <v>IU</v>
      </c>
      <c r="C17" s="495">
        <f>IF(D11= "","-",D11)</f>
        <v>2018</v>
      </c>
      <c r="D17" s="614">
        <v>0</v>
      </c>
      <c r="E17" s="613">
        <v>0</v>
      </c>
      <c r="F17" s="614">
        <v>8591402</v>
      </c>
      <c r="G17" s="613">
        <v>472269.24918780552</v>
      </c>
      <c r="H17" s="617">
        <v>472269.24918780552</v>
      </c>
      <c r="I17" s="500">
        <f t="shared" ref="I17:I71" si="1">H17-G17</f>
        <v>0</v>
      </c>
      <c r="J17" s="500"/>
      <c r="K17" s="501">
        <f>+G17</f>
        <v>472269.24918780552</v>
      </c>
      <c r="L17" s="503">
        <f t="shared" ref="L17:L71" si="2">IF(K17&lt;&gt;0,+G17-K17,0)</f>
        <v>0</v>
      </c>
      <c r="M17" s="501">
        <f>+H17</f>
        <v>472269.24918780552</v>
      </c>
      <c r="N17" s="503">
        <f t="shared" ref="N17:N71" si="3">IF(M17&lt;&gt;0,+H17-M17,0)</f>
        <v>0</v>
      </c>
      <c r="O17" s="504">
        <f t="shared" ref="O17:O71" si="4">+N17-L17</f>
        <v>0</v>
      </c>
      <c r="P17" s="278"/>
    </row>
    <row r="18" spans="2:16">
      <c r="B18" s="145" t="str">
        <f t="shared" si="0"/>
        <v/>
      </c>
      <c r="C18" s="495">
        <f>IF(D11="","-",+C17+1)</f>
        <v>2019</v>
      </c>
      <c r="D18" s="614">
        <v>8591402</v>
      </c>
      <c r="E18" s="613">
        <v>254811.07676479843</v>
      </c>
      <c r="F18" s="614">
        <v>8336590.9232352013</v>
      </c>
      <c r="G18" s="613">
        <v>1134524.7126540036</v>
      </c>
      <c r="H18" s="617">
        <v>1134524.7126540036</v>
      </c>
      <c r="I18" s="500">
        <f t="shared" si="1"/>
        <v>0</v>
      </c>
      <c r="J18" s="500"/>
      <c r="K18" s="592">
        <f>+G18</f>
        <v>1134524.7126540036</v>
      </c>
      <c r="L18" s="596">
        <f t="shared" ref="L18" si="5">IF(K18&lt;&gt;0,+G18-K18,0)</f>
        <v>0</v>
      </c>
      <c r="M18" s="592">
        <f>+H18</f>
        <v>1134524.7126540036</v>
      </c>
      <c r="N18" s="504">
        <f t="shared" si="3"/>
        <v>0</v>
      </c>
      <c r="O18" s="504">
        <f t="shared" si="4"/>
        <v>0</v>
      </c>
      <c r="P18" s="278"/>
    </row>
    <row r="19" spans="2:16">
      <c r="B19" s="145" t="str">
        <f t="shared" si="0"/>
        <v>IU</v>
      </c>
      <c r="C19" s="495">
        <f>IF(D11="","-",+C18+1)</f>
        <v>2020</v>
      </c>
      <c r="D19" s="614">
        <v>8386649.9543424007</v>
      </c>
      <c r="E19" s="613">
        <v>261622.86982027246</v>
      </c>
      <c r="F19" s="614">
        <v>8125027.0845221281</v>
      </c>
      <c r="G19" s="613">
        <v>1127928.3671828741</v>
      </c>
      <c r="H19" s="617">
        <v>1127928.3671828741</v>
      </c>
      <c r="I19" s="500">
        <f t="shared" si="1"/>
        <v>0</v>
      </c>
      <c r="J19" s="500"/>
      <c r="K19" s="592">
        <f>+G19</f>
        <v>1127928.3671828741</v>
      </c>
      <c r="L19" s="596">
        <f t="shared" ref="L19" si="6">IF(K19&lt;&gt;0,+G19-K19,0)</f>
        <v>0</v>
      </c>
      <c r="M19" s="592">
        <f>+H19</f>
        <v>1127928.3671828741</v>
      </c>
      <c r="N19" s="504">
        <f t="shared" si="3"/>
        <v>0</v>
      </c>
      <c r="O19" s="504">
        <f t="shared" si="4"/>
        <v>0</v>
      </c>
      <c r="P19" s="278"/>
    </row>
    <row r="20" spans="2:16">
      <c r="B20" s="145" t="str">
        <f t="shared" si="0"/>
        <v>IU</v>
      </c>
      <c r="C20" s="495">
        <f>IF(D11="","-",+C19+1)</f>
        <v>2021</v>
      </c>
      <c r="D20" s="614">
        <v>8418230.0534149297</v>
      </c>
      <c r="E20" s="613">
        <v>288214.96774193546</v>
      </c>
      <c r="F20" s="614">
        <v>8130015.0856729941</v>
      </c>
      <c r="G20" s="613">
        <v>1183351.4738305765</v>
      </c>
      <c r="H20" s="617">
        <v>1183351.4738305765</v>
      </c>
      <c r="I20" s="500">
        <f t="shared" si="1"/>
        <v>0</v>
      </c>
      <c r="J20" s="500"/>
      <c r="K20" s="592">
        <f>+G20</f>
        <v>1183351.4738305765</v>
      </c>
      <c r="L20" s="596">
        <f t="shared" ref="L20" si="7">IF(K20&lt;&gt;0,+G20-K20,0)</f>
        <v>0</v>
      </c>
      <c r="M20" s="592">
        <f>+H20</f>
        <v>1183351.4738305765</v>
      </c>
      <c r="N20" s="504">
        <f t="shared" ref="N20" si="8">IF(M20&lt;&gt;0,+H20-M20,0)</f>
        <v>0</v>
      </c>
      <c r="O20" s="504">
        <f t="shared" ref="O20" si="9">+N20-L20</f>
        <v>0</v>
      </c>
      <c r="P20" s="278"/>
    </row>
    <row r="21" spans="2:16">
      <c r="B21" s="145" t="str">
        <f t="shared" si="0"/>
        <v/>
      </c>
      <c r="C21" s="495">
        <f>IF(D11="","-",+C20+1)</f>
        <v>2022</v>
      </c>
      <c r="D21" s="508">
        <f>IF(F20+SUM(E$17:E20)=D$10,F20,D$10-SUM(E$17:E20))</f>
        <v>8130015.0856729941</v>
      </c>
      <c r="E21" s="509">
        <f t="shared" ref="E21:E71" si="10">IF(+I$14&lt;F20,I$14,D21)</f>
        <v>270747.39393939392</v>
      </c>
      <c r="F21" s="510">
        <f t="shared" ref="F21:F71" si="11">+D21-E21</f>
        <v>7859267.6917336006</v>
      </c>
      <c r="G21" s="511">
        <f t="shared" ref="G21:G71" si="12">(D21+F21)/2*I$12+E21</f>
        <v>1188202.637458564</v>
      </c>
      <c r="H21" s="477">
        <f t="shared" ref="H21:H71" si="13">+(D21+F21)/2*I$13+E21</f>
        <v>1188202.637458564</v>
      </c>
      <c r="I21" s="500">
        <f t="shared" si="1"/>
        <v>0</v>
      </c>
      <c r="J21" s="500"/>
      <c r="K21" s="512"/>
      <c r="L21" s="504">
        <f t="shared" si="2"/>
        <v>0</v>
      </c>
      <c r="M21" s="512"/>
      <c r="N21" s="504">
        <f t="shared" si="3"/>
        <v>0</v>
      </c>
      <c r="O21" s="504">
        <f t="shared" si="4"/>
        <v>0</v>
      </c>
      <c r="P21" s="278"/>
    </row>
    <row r="22" spans="2:16">
      <c r="B22" s="145" t="str">
        <f t="shared" si="0"/>
        <v/>
      </c>
      <c r="C22" s="495">
        <f>IF(D11="","-",+C21+1)</f>
        <v>2023</v>
      </c>
      <c r="D22" s="508">
        <f>IF(F21+SUM(E$17:E21)=D$10,F21,D$10-SUM(E$17:E21))</f>
        <v>7859267.6917336006</v>
      </c>
      <c r="E22" s="509">
        <f t="shared" si="10"/>
        <v>270747.39393939392</v>
      </c>
      <c r="F22" s="510">
        <f t="shared" si="11"/>
        <v>7588520.297794207</v>
      </c>
      <c r="G22" s="511">
        <f t="shared" si="12"/>
        <v>1157131.9984940891</v>
      </c>
      <c r="H22" s="477">
        <f t="shared" si="13"/>
        <v>1157131.9984940891</v>
      </c>
      <c r="I22" s="500">
        <f t="shared" si="1"/>
        <v>0</v>
      </c>
      <c r="J22" s="500"/>
      <c r="K22" s="512"/>
      <c r="L22" s="504">
        <f t="shared" si="2"/>
        <v>0</v>
      </c>
      <c r="M22" s="512"/>
      <c r="N22" s="504">
        <f t="shared" si="3"/>
        <v>0</v>
      </c>
      <c r="O22" s="504">
        <f t="shared" si="4"/>
        <v>0</v>
      </c>
      <c r="P22" s="278"/>
    </row>
    <row r="23" spans="2:16">
      <c r="B23" s="145" t="str">
        <f t="shared" si="0"/>
        <v/>
      </c>
      <c r="C23" s="495">
        <f>IF(D11="","-",+C22+1)</f>
        <v>2024</v>
      </c>
      <c r="D23" s="508">
        <f>IF(F22+SUM(E$17:E22)=D$10,F22,D$10-SUM(E$17:E22))</f>
        <v>7588520.297794207</v>
      </c>
      <c r="E23" s="509">
        <f t="shared" si="10"/>
        <v>270747.39393939392</v>
      </c>
      <c r="F23" s="510">
        <f t="shared" si="11"/>
        <v>7317772.9038548134</v>
      </c>
      <c r="G23" s="511">
        <f t="shared" si="12"/>
        <v>1126061.3595296144</v>
      </c>
      <c r="H23" s="477">
        <f t="shared" si="13"/>
        <v>1126061.3595296144</v>
      </c>
      <c r="I23" s="500">
        <f t="shared" si="1"/>
        <v>0</v>
      </c>
      <c r="J23" s="500"/>
      <c r="K23" s="512"/>
      <c r="L23" s="504">
        <f t="shared" si="2"/>
        <v>0</v>
      </c>
      <c r="M23" s="512"/>
      <c r="N23" s="504">
        <f t="shared" si="3"/>
        <v>0</v>
      </c>
      <c r="O23" s="504">
        <f t="shared" si="4"/>
        <v>0</v>
      </c>
      <c r="P23" s="278"/>
    </row>
    <row r="24" spans="2:16">
      <c r="B24" s="145" t="str">
        <f t="shared" si="0"/>
        <v/>
      </c>
      <c r="C24" s="495">
        <f>IF(D11="","-",+C23+1)</f>
        <v>2025</v>
      </c>
      <c r="D24" s="508">
        <f>IF(F23+SUM(E$17:E23)=D$10,F23,D$10-SUM(E$17:E23))</f>
        <v>7317772.9038548134</v>
      </c>
      <c r="E24" s="509">
        <f t="shared" si="10"/>
        <v>270747.39393939392</v>
      </c>
      <c r="F24" s="510">
        <f t="shared" si="11"/>
        <v>7047025.5099154199</v>
      </c>
      <c r="G24" s="511">
        <f t="shared" si="12"/>
        <v>1094990.7205651398</v>
      </c>
      <c r="H24" s="477">
        <f t="shared" si="13"/>
        <v>1094990.7205651398</v>
      </c>
      <c r="I24" s="500">
        <f t="shared" si="1"/>
        <v>0</v>
      </c>
      <c r="J24" s="500"/>
      <c r="K24" s="512"/>
      <c r="L24" s="504">
        <f t="shared" si="2"/>
        <v>0</v>
      </c>
      <c r="M24" s="512"/>
      <c r="N24" s="504">
        <f t="shared" si="3"/>
        <v>0</v>
      </c>
      <c r="O24" s="504">
        <f t="shared" si="4"/>
        <v>0</v>
      </c>
      <c r="P24" s="278"/>
    </row>
    <row r="25" spans="2:16">
      <c r="B25" s="145" t="str">
        <f t="shared" si="0"/>
        <v/>
      </c>
      <c r="C25" s="495">
        <f>IF(D11="","-",+C24+1)</f>
        <v>2026</v>
      </c>
      <c r="D25" s="508">
        <f>IF(F24+SUM(E$17:E24)=D$10,F24,D$10-SUM(E$17:E24))</f>
        <v>7047025.5099154199</v>
      </c>
      <c r="E25" s="509">
        <f t="shared" si="10"/>
        <v>270747.39393939392</v>
      </c>
      <c r="F25" s="510">
        <f t="shared" si="11"/>
        <v>6776278.1159760263</v>
      </c>
      <c r="G25" s="511">
        <f t="shared" si="12"/>
        <v>1063920.0816006651</v>
      </c>
      <c r="H25" s="477">
        <f t="shared" si="13"/>
        <v>1063920.0816006651</v>
      </c>
      <c r="I25" s="500">
        <f t="shared" si="1"/>
        <v>0</v>
      </c>
      <c r="J25" s="500"/>
      <c r="K25" s="512"/>
      <c r="L25" s="504">
        <f t="shared" si="2"/>
        <v>0</v>
      </c>
      <c r="M25" s="512"/>
      <c r="N25" s="504">
        <f t="shared" si="3"/>
        <v>0</v>
      </c>
      <c r="O25" s="504">
        <f t="shared" si="4"/>
        <v>0</v>
      </c>
      <c r="P25" s="278"/>
    </row>
    <row r="26" spans="2:16">
      <c r="B26" s="145" t="str">
        <f t="shared" si="0"/>
        <v/>
      </c>
      <c r="C26" s="495">
        <f>IF(D11="","-",+C25+1)</f>
        <v>2027</v>
      </c>
      <c r="D26" s="508">
        <f>IF(F25+SUM(E$17:E25)=D$10,F25,D$10-SUM(E$17:E25))</f>
        <v>6776278.1159760263</v>
      </c>
      <c r="E26" s="509">
        <f t="shared" si="10"/>
        <v>270747.39393939392</v>
      </c>
      <c r="F26" s="510">
        <f t="shared" si="11"/>
        <v>6505530.7220366327</v>
      </c>
      <c r="G26" s="511">
        <f t="shared" si="12"/>
        <v>1032849.4426361903</v>
      </c>
      <c r="H26" s="477">
        <f t="shared" si="13"/>
        <v>1032849.4426361903</v>
      </c>
      <c r="I26" s="500">
        <f t="shared" si="1"/>
        <v>0</v>
      </c>
      <c r="J26" s="500"/>
      <c r="K26" s="512"/>
      <c r="L26" s="504">
        <f t="shared" si="2"/>
        <v>0</v>
      </c>
      <c r="M26" s="512"/>
      <c r="N26" s="504">
        <f t="shared" si="3"/>
        <v>0</v>
      </c>
      <c r="O26" s="504">
        <f t="shared" si="4"/>
        <v>0</v>
      </c>
      <c r="P26" s="278"/>
    </row>
    <row r="27" spans="2:16">
      <c r="B27" s="145" t="str">
        <f t="shared" si="0"/>
        <v/>
      </c>
      <c r="C27" s="495">
        <f>IF(D11="","-",+C26+1)</f>
        <v>2028</v>
      </c>
      <c r="D27" s="508">
        <f>IF(F26+SUM(E$17:E26)=D$10,F26,D$10-SUM(E$17:E26))</f>
        <v>6505530.7220366327</v>
      </c>
      <c r="E27" s="509">
        <f t="shared" si="10"/>
        <v>270747.39393939392</v>
      </c>
      <c r="F27" s="510">
        <f t="shared" si="11"/>
        <v>6234783.3280972391</v>
      </c>
      <c r="G27" s="511">
        <f t="shared" si="12"/>
        <v>1001778.8036717157</v>
      </c>
      <c r="H27" s="477">
        <f t="shared" si="13"/>
        <v>1001778.8036717157</v>
      </c>
      <c r="I27" s="500">
        <f t="shared" si="1"/>
        <v>0</v>
      </c>
      <c r="J27" s="500"/>
      <c r="K27" s="512"/>
      <c r="L27" s="504">
        <f t="shared" si="2"/>
        <v>0</v>
      </c>
      <c r="M27" s="512"/>
      <c r="N27" s="504">
        <f t="shared" si="3"/>
        <v>0</v>
      </c>
      <c r="O27" s="504">
        <f t="shared" si="4"/>
        <v>0</v>
      </c>
      <c r="P27" s="278"/>
    </row>
    <row r="28" spans="2:16">
      <c r="B28" s="145" t="str">
        <f t="shared" si="0"/>
        <v/>
      </c>
      <c r="C28" s="495">
        <f>IF(D11="","-",+C27+1)</f>
        <v>2029</v>
      </c>
      <c r="D28" s="508">
        <f>IF(F27+SUM(E$17:E27)=D$10,F27,D$10-SUM(E$17:E27))</f>
        <v>6234783.3280972391</v>
      </c>
      <c r="E28" s="509">
        <f t="shared" si="10"/>
        <v>270747.39393939392</v>
      </c>
      <c r="F28" s="510">
        <f t="shared" si="11"/>
        <v>5964035.9341578456</v>
      </c>
      <c r="G28" s="511">
        <f t="shared" si="12"/>
        <v>970708.16470724088</v>
      </c>
      <c r="H28" s="477">
        <f t="shared" si="13"/>
        <v>970708.16470724088</v>
      </c>
      <c r="I28" s="500">
        <f t="shared" si="1"/>
        <v>0</v>
      </c>
      <c r="J28" s="500"/>
      <c r="K28" s="512"/>
      <c r="L28" s="504">
        <f t="shared" si="2"/>
        <v>0</v>
      </c>
      <c r="M28" s="512"/>
      <c r="N28" s="504">
        <f t="shared" si="3"/>
        <v>0</v>
      </c>
      <c r="O28" s="504">
        <f t="shared" si="4"/>
        <v>0</v>
      </c>
      <c r="P28" s="278"/>
    </row>
    <row r="29" spans="2:16">
      <c r="B29" s="145" t="str">
        <f t="shared" si="0"/>
        <v/>
      </c>
      <c r="C29" s="495">
        <f>IF(D11="","-",+C28+1)</f>
        <v>2030</v>
      </c>
      <c r="D29" s="508">
        <f>IF(F28+SUM(E$17:E28)=D$10,F28,D$10-SUM(E$17:E28))</f>
        <v>5964035.9341578456</v>
      </c>
      <c r="E29" s="509">
        <f t="shared" si="10"/>
        <v>270747.39393939392</v>
      </c>
      <c r="F29" s="510">
        <f t="shared" si="11"/>
        <v>5693288.540218452</v>
      </c>
      <c r="G29" s="511">
        <f t="shared" si="12"/>
        <v>939637.52574276621</v>
      </c>
      <c r="H29" s="477">
        <f t="shared" si="13"/>
        <v>939637.52574276621</v>
      </c>
      <c r="I29" s="500">
        <f t="shared" si="1"/>
        <v>0</v>
      </c>
      <c r="J29" s="500"/>
      <c r="K29" s="512"/>
      <c r="L29" s="504">
        <f t="shared" si="2"/>
        <v>0</v>
      </c>
      <c r="M29" s="512"/>
      <c r="N29" s="504">
        <f t="shared" si="3"/>
        <v>0</v>
      </c>
      <c r="O29" s="504">
        <f t="shared" si="4"/>
        <v>0</v>
      </c>
      <c r="P29" s="278"/>
    </row>
    <row r="30" spans="2:16">
      <c r="B30" s="145" t="str">
        <f t="shared" si="0"/>
        <v/>
      </c>
      <c r="C30" s="495">
        <f>IF(D11="","-",+C29+1)</f>
        <v>2031</v>
      </c>
      <c r="D30" s="508">
        <f>IF(F29+SUM(E$17:E29)=D$10,F29,D$10-SUM(E$17:E29))</f>
        <v>5693288.540218452</v>
      </c>
      <c r="E30" s="509">
        <f t="shared" si="10"/>
        <v>270747.39393939392</v>
      </c>
      <c r="F30" s="510">
        <f t="shared" si="11"/>
        <v>5422541.1462790584</v>
      </c>
      <c r="G30" s="511">
        <f t="shared" si="12"/>
        <v>908566.88677829143</v>
      </c>
      <c r="H30" s="477">
        <f t="shared" si="13"/>
        <v>908566.88677829143</v>
      </c>
      <c r="I30" s="500">
        <f t="shared" si="1"/>
        <v>0</v>
      </c>
      <c r="J30" s="500"/>
      <c r="K30" s="512"/>
      <c r="L30" s="504">
        <f t="shared" si="2"/>
        <v>0</v>
      </c>
      <c r="M30" s="512"/>
      <c r="N30" s="504">
        <f t="shared" si="3"/>
        <v>0</v>
      </c>
      <c r="O30" s="504">
        <f t="shared" si="4"/>
        <v>0</v>
      </c>
      <c r="P30" s="278"/>
    </row>
    <row r="31" spans="2:16">
      <c r="B31" s="145" t="str">
        <f t="shared" si="0"/>
        <v>IU</v>
      </c>
      <c r="C31" s="495">
        <f>IF(D11="","-",+C30+1)</f>
        <v>2032</v>
      </c>
      <c r="D31" s="508">
        <f>IF(F30+SUM(E$17:E30)=D$10,F30,D$10-SUM(E$17:E30))</f>
        <v>5422541.1462790538</v>
      </c>
      <c r="E31" s="509">
        <f t="shared" si="10"/>
        <v>270747.39393939392</v>
      </c>
      <c r="F31" s="510">
        <f t="shared" si="11"/>
        <v>5151793.7523396602</v>
      </c>
      <c r="G31" s="511">
        <f t="shared" si="12"/>
        <v>877496.24781381618</v>
      </c>
      <c r="H31" s="477">
        <f t="shared" si="13"/>
        <v>877496.24781381618</v>
      </c>
      <c r="I31" s="500">
        <f t="shared" si="1"/>
        <v>0</v>
      </c>
      <c r="J31" s="500"/>
      <c r="K31" s="512"/>
      <c r="L31" s="504">
        <f t="shared" si="2"/>
        <v>0</v>
      </c>
      <c r="M31" s="512"/>
      <c r="N31" s="504">
        <f t="shared" si="3"/>
        <v>0</v>
      </c>
      <c r="O31" s="504">
        <f t="shared" si="4"/>
        <v>0</v>
      </c>
      <c r="P31" s="278"/>
    </row>
    <row r="32" spans="2:16">
      <c r="B32" s="145" t="str">
        <f t="shared" si="0"/>
        <v/>
      </c>
      <c r="C32" s="495">
        <f>IF(D11="","-",+C31+1)</f>
        <v>2033</v>
      </c>
      <c r="D32" s="508">
        <f>IF(F31+SUM(E$17:E31)=D$10,F31,D$10-SUM(E$17:E31))</f>
        <v>5151793.7523396602</v>
      </c>
      <c r="E32" s="509">
        <f t="shared" si="10"/>
        <v>270747.39393939392</v>
      </c>
      <c r="F32" s="510">
        <f t="shared" si="11"/>
        <v>4881046.3584002666</v>
      </c>
      <c r="G32" s="511">
        <f t="shared" si="12"/>
        <v>846425.60884934152</v>
      </c>
      <c r="H32" s="477">
        <f t="shared" si="13"/>
        <v>846425.60884934152</v>
      </c>
      <c r="I32" s="500">
        <f t="shared" si="1"/>
        <v>0</v>
      </c>
      <c r="J32" s="500"/>
      <c r="K32" s="512"/>
      <c r="L32" s="504">
        <f t="shared" si="2"/>
        <v>0</v>
      </c>
      <c r="M32" s="512"/>
      <c r="N32" s="504">
        <f t="shared" si="3"/>
        <v>0</v>
      </c>
      <c r="O32" s="504">
        <f t="shared" si="4"/>
        <v>0</v>
      </c>
      <c r="P32" s="278"/>
    </row>
    <row r="33" spans="2:16">
      <c r="B33" s="145" t="str">
        <f t="shared" si="0"/>
        <v/>
      </c>
      <c r="C33" s="495">
        <f>IF(D11="","-",+C32+1)</f>
        <v>2034</v>
      </c>
      <c r="D33" s="508">
        <f>IF(F32+SUM(E$17:E32)=D$10,F32,D$10-SUM(E$17:E32))</f>
        <v>4881046.3584002666</v>
      </c>
      <c r="E33" s="509">
        <f t="shared" si="10"/>
        <v>270747.39393939392</v>
      </c>
      <c r="F33" s="510">
        <f t="shared" si="11"/>
        <v>4610298.964460873</v>
      </c>
      <c r="G33" s="511">
        <f t="shared" si="12"/>
        <v>815354.96988486673</v>
      </c>
      <c r="H33" s="477">
        <f t="shared" si="13"/>
        <v>815354.96988486673</v>
      </c>
      <c r="I33" s="500">
        <f t="shared" si="1"/>
        <v>0</v>
      </c>
      <c r="J33" s="500"/>
      <c r="K33" s="512"/>
      <c r="L33" s="504">
        <f t="shared" si="2"/>
        <v>0</v>
      </c>
      <c r="M33" s="512"/>
      <c r="N33" s="504">
        <f t="shared" si="3"/>
        <v>0</v>
      </c>
      <c r="O33" s="504">
        <f t="shared" si="4"/>
        <v>0</v>
      </c>
      <c r="P33" s="278"/>
    </row>
    <row r="34" spans="2:16">
      <c r="B34" s="145" t="str">
        <f t="shared" si="0"/>
        <v/>
      </c>
      <c r="C34" s="495">
        <f>IF(D11="","-",+C33+1)</f>
        <v>2035</v>
      </c>
      <c r="D34" s="508">
        <f>IF(F33+SUM(E$17:E33)=D$10,F33,D$10-SUM(E$17:E33))</f>
        <v>4610298.964460873</v>
      </c>
      <c r="E34" s="509">
        <f t="shared" si="10"/>
        <v>270747.39393939392</v>
      </c>
      <c r="F34" s="510">
        <f t="shared" si="11"/>
        <v>4339551.5705214795</v>
      </c>
      <c r="G34" s="511">
        <f t="shared" si="12"/>
        <v>784284.33092039207</v>
      </c>
      <c r="H34" s="477">
        <f t="shared" si="13"/>
        <v>784284.33092039207</v>
      </c>
      <c r="I34" s="500">
        <f t="shared" si="1"/>
        <v>0</v>
      </c>
      <c r="J34" s="500"/>
      <c r="K34" s="512"/>
      <c r="L34" s="504">
        <f t="shared" si="2"/>
        <v>0</v>
      </c>
      <c r="M34" s="512"/>
      <c r="N34" s="504">
        <f t="shared" si="3"/>
        <v>0</v>
      </c>
      <c r="O34" s="504">
        <f t="shared" si="4"/>
        <v>0</v>
      </c>
      <c r="P34" s="278"/>
    </row>
    <row r="35" spans="2:16">
      <c r="B35" s="145" t="str">
        <f t="shared" si="0"/>
        <v/>
      </c>
      <c r="C35" s="495">
        <f>IF(D11="","-",+C34+1)</f>
        <v>2036</v>
      </c>
      <c r="D35" s="508">
        <f>IF(F34+SUM(E$17:E34)=D$10,F34,D$10-SUM(E$17:E34))</f>
        <v>4339551.5705214795</v>
      </c>
      <c r="E35" s="509">
        <f t="shared" si="10"/>
        <v>270747.39393939392</v>
      </c>
      <c r="F35" s="510">
        <f t="shared" si="11"/>
        <v>4068804.1765820854</v>
      </c>
      <c r="G35" s="511">
        <f t="shared" si="12"/>
        <v>753213.69195591728</v>
      </c>
      <c r="H35" s="477">
        <f t="shared" si="13"/>
        <v>753213.69195591728</v>
      </c>
      <c r="I35" s="500">
        <f t="shared" si="1"/>
        <v>0</v>
      </c>
      <c r="J35" s="500"/>
      <c r="K35" s="512"/>
      <c r="L35" s="504">
        <f t="shared" si="2"/>
        <v>0</v>
      </c>
      <c r="M35" s="512"/>
      <c r="N35" s="504">
        <f t="shared" si="3"/>
        <v>0</v>
      </c>
      <c r="O35" s="504">
        <f t="shared" si="4"/>
        <v>0</v>
      </c>
      <c r="P35" s="278"/>
    </row>
    <row r="36" spans="2:16">
      <c r="B36" s="145" t="str">
        <f t="shared" si="0"/>
        <v/>
      </c>
      <c r="C36" s="495">
        <f>IF(D11="","-",+C35+1)</f>
        <v>2037</v>
      </c>
      <c r="D36" s="508">
        <f>IF(F35+SUM(E$17:E35)=D$10,F35,D$10-SUM(E$17:E35))</f>
        <v>4068804.1765820854</v>
      </c>
      <c r="E36" s="509">
        <f t="shared" si="10"/>
        <v>270747.39393939392</v>
      </c>
      <c r="F36" s="510">
        <f t="shared" si="11"/>
        <v>3798056.7826426914</v>
      </c>
      <c r="G36" s="511">
        <f t="shared" si="12"/>
        <v>722143.05299144262</v>
      </c>
      <c r="H36" s="477">
        <f t="shared" si="13"/>
        <v>722143.05299144262</v>
      </c>
      <c r="I36" s="500">
        <f t="shared" si="1"/>
        <v>0</v>
      </c>
      <c r="J36" s="500"/>
      <c r="K36" s="512"/>
      <c r="L36" s="504">
        <f t="shared" si="2"/>
        <v>0</v>
      </c>
      <c r="M36" s="512"/>
      <c r="N36" s="504">
        <f t="shared" si="3"/>
        <v>0</v>
      </c>
      <c r="O36" s="504">
        <f t="shared" si="4"/>
        <v>0</v>
      </c>
      <c r="P36" s="278"/>
    </row>
    <row r="37" spans="2:16">
      <c r="B37" s="145" t="str">
        <f t="shared" si="0"/>
        <v/>
      </c>
      <c r="C37" s="495">
        <f>IF(D11="","-",+C36+1)</f>
        <v>2038</v>
      </c>
      <c r="D37" s="508">
        <f>IF(F36+SUM(E$17:E36)=D$10,F36,D$10-SUM(E$17:E36))</f>
        <v>3798056.7826426914</v>
      </c>
      <c r="E37" s="509">
        <f t="shared" si="10"/>
        <v>270747.39393939392</v>
      </c>
      <c r="F37" s="510">
        <f t="shared" si="11"/>
        <v>3527309.3887032974</v>
      </c>
      <c r="G37" s="511">
        <f t="shared" si="12"/>
        <v>691072.41402696772</v>
      </c>
      <c r="H37" s="477">
        <f t="shared" si="13"/>
        <v>691072.41402696772</v>
      </c>
      <c r="I37" s="500">
        <f t="shared" si="1"/>
        <v>0</v>
      </c>
      <c r="J37" s="500"/>
      <c r="K37" s="512"/>
      <c r="L37" s="504">
        <f t="shared" si="2"/>
        <v>0</v>
      </c>
      <c r="M37" s="512"/>
      <c r="N37" s="504">
        <f t="shared" si="3"/>
        <v>0</v>
      </c>
      <c r="O37" s="504">
        <f t="shared" si="4"/>
        <v>0</v>
      </c>
      <c r="P37" s="278"/>
    </row>
    <row r="38" spans="2:16">
      <c r="B38" s="145" t="str">
        <f t="shared" si="0"/>
        <v/>
      </c>
      <c r="C38" s="495">
        <f>IF(D11="","-",+C37+1)</f>
        <v>2039</v>
      </c>
      <c r="D38" s="508">
        <f>IF(F37+SUM(E$17:E37)=D$10,F37,D$10-SUM(E$17:E37))</f>
        <v>3527309.3887032974</v>
      </c>
      <c r="E38" s="509">
        <f t="shared" si="10"/>
        <v>270747.39393939392</v>
      </c>
      <c r="F38" s="510">
        <f t="shared" si="11"/>
        <v>3256561.9947639033</v>
      </c>
      <c r="G38" s="511">
        <f t="shared" si="12"/>
        <v>660001.77506249305</v>
      </c>
      <c r="H38" s="477">
        <f t="shared" si="13"/>
        <v>660001.77506249305</v>
      </c>
      <c r="I38" s="500">
        <f t="shared" si="1"/>
        <v>0</v>
      </c>
      <c r="J38" s="500"/>
      <c r="K38" s="512"/>
      <c r="L38" s="504">
        <f t="shared" si="2"/>
        <v>0</v>
      </c>
      <c r="M38" s="512"/>
      <c r="N38" s="504">
        <f t="shared" si="3"/>
        <v>0</v>
      </c>
      <c r="O38" s="504">
        <f t="shared" si="4"/>
        <v>0</v>
      </c>
      <c r="P38" s="278"/>
    </row>
    <row r="39" spans="2:16">
      <c r="B39" s="145" t="str">
        <f t="shared" si="0"/>
        <v/>
      </c>
      <c r="C39" s="495">
        <f>IF(D11="","-",+C38+1)</f>
        <v>2040</v>
      </c>
      <c r="D39" s="508">
        <f>IF(F38+SUM(E$17:E38)=D$10,F38,D$10-SUM(E$17:E38))</f>
        <v>3256561.9947639033</v>
      </c>
      <c r="E39" s="509">
        <f t="shared" si="10"/>
        <v>270747.39393939392</v>
      </c>
      <c r="F39" s="510">
        <f t="shared" si="11"/>
        <v>2985814.6008245093</v>
      </c>
      <c r="G39" s="511">
        <f t="shared" si="12"/>
        <v>628931.13609801815</v>
      </c>
      <c r="H39" s="477">
        <f t="shared" si="13"/>
        <v>628931.13609801815</v>
      </c>
      <c r="I39" s="500">
        <f t="shared" si="1"/>
        <v>0</v>
      </c>
      <c r="J39" s="500"/>
      <c r="K39" s="512"/>
      <c r="L39" s="504">
        <f t="shared" si="2"/>
        <v>0</v>
      </c>
      <c r="M39" s="512"/>
      <c r="N39" s="504">
        <f t="shared" si="3"/>
        <v>0</v>
      </c>
      <c r="O39" s="504">
        <f t="shared" si="4"/>
        <v>0</v>
      </c>
      <c r="P39" s="278"/>
    </row>
    <row r="40" spans="2:16">
      <c r="B40" s="145" t="str">
        <f t="shared" si="0"/>
        <v/>
      </c>
      <c r="C40" s="495">
        <f>IF(D11="","-",+C39+1)</f>
        <v>2041</v>
      </c>
      <c r="D40" s="508">
        <f>IF(F39+SUM(E$17:E39)=D$10,F39,D$10-SUM(E$17:E39))</f>
        <v>2985814.6008245093</v>
      </c>
      <c r="E40" s="509">
        <f t="shared" si="10"/>
        <v>270747.39393939392</v>
      </c>
      <c r="F40" s="510">
        <f t="shared" si="11"/>
        <v>2715067.2068851152</v>
      </c>
      <c r="G40" s="511">
        <f t="shared" si="12"/>
        <v>597860.49713354348</v>
      </c>
      <c r="H40" s="477">
        <f t="shared" si="13"/>
        <v>597860.49713354348</v>
      </c>
      <c r="I40" s="500">
        <f t="shared" si="1"/>
        <v>0</v>
      </c>
      <c r="J40" s="500"/>
      <c r="K40" s="512"/>
      <c r="L40" s="504">
        <f t="shared" si="2"/>
        <v>0</v>
      </c>
      <c r="M40" s="512"/>
      <c r="N40" s="504">
        <f t="shared" si="3"/>
        <v>0</v>
      </c>
      <c r="O40" s="504">
        <f t="shared" si="4"/>
        <v>0</v>
      </c>
      <c r="P40" s="278"/>
    </row>
    <row r="41" spans="2:16">
      <c r="B41" s="145" t="str">
        <f t="shared" si="0"/>
        <v/>
      </c>
      <c r="C41" s="495">
        <f>IF(D11="","-",+C40+1)</f>
        <v>2042</v>
      </c>
      <c r="D41" s="508">
        <f>IF(F40+SUM(E$17:E40)=D$10,F40,D$10-SUM(E$17:E40))</f>
        <v>2715067.2068851152</v>
      </c>
      <c r="E41" s="509">
        <f t="shared" si="10"/>
        <v>270747.39393939392</v>
      </c>
      <c r="F41" s="510">
        <f t="shared" si="11"/>
        <v>2444319.8129457212</v>
      </c>
      <c r="G41" s="511">
        <f t="shared" si="12"/>
        <v>566789.85816906858</v>
      </c>
      <c r="H41" s="477">
        <f t="shared" si="13"/>
        <v>566789.85816906858</v>
      </c>
      <c r="I41" s="500">
        <f t="shared" si="1"/>
        <v>0</v>
      </c>
      <c r="J41" s="500"/>
      <c r="K41" s="512"/>
      <c r="L41" s="504">
        <f t="shared" si="2"/>
        <v>0</v>
      </c>
      <c r="M41" s="512"/>
      <c r="N41" s="504">
        <f t="shared" si="3"/>
        <v>0</v>
      </c>
      <c r="O41" s="504">
        <f t="shared" si="4"/>
        <v>0</v>
      </c>
      <c r="P41" s="278"/>
    </row>
    <row r="42" spans="2:16">
      <c r="B42" s="145" t="str">
        <f t="shared" si="0"/>
        <v/>
      </c>
      <c r="C42" s="495">
        <f>IF(D11="","-",+C41+1)</f>
        <v>2043</v>
      </c>
      <c r="D42" s="508">
        <f>IF(F41+SUM(E$17:E41)=D$10,F41,D$10-SUM(E$17:E41))</f>
        <v>2444319.8129457212</v>
      </c>
      <c r="E42" s="509">
        <f t="shared" si="10"/>
        <v>270747.39393939392</v>
      </c>
      <c r="F42" s="510">
        <f t="shared" si="11"/>
        <v>2173572.4190063272</v>
      </c>
      <c r="G42" s="511">
        <f t="shared" si="12"/>
        <v>535719.21920459392</v>
      </c>
      <c r="H42" s="477">
        <f t="shared" si="13"/>
        <v>535719.21920459392</v>
      </c>
      <c r="I42" s="500">
        <f t="shared" si="1"/>
        <v>0</v>
      </c>
      <c r="J42" s="500"/>
      <c r="K42" s="512"/>
      <c r="L42" s="504">
        <f t="shared" si="2"/>
        <v>0</v>
      </c>
      <c r="M42" s="512"/>
      <c r="N42" s="504">
        <f t="shared" si="3"/>
        <v>0</v>
      </c>
      <c r="O42" s="504">
        <f t="shared" si="4"/>
        <v>0</v>
      </c>
      <c r="P42" s="278"/>
    </row>
    <row r="43" spans="2:16">
      <c r="B43" s="145" t="str">
        <f t="shared" si="0"/>
        <v/>
      </c>
      <c r="C43" s="495">
        <f>IF(D11="","-",+C42+1)</f>
        <v>2044</v>
      </c>
      <c r="D43" s="508">
        <f>IF(F42+SUM(E$17:E42)=D$10,F42,D$10-SUM(E$17:E42))</f>
        <v>2173572.4190063272</v>
      </c>
      <c r="E43" s="509">
        <f t="shared" si="10"/>
        <v>270747.39393939392</v>
      </c>
      <c r="F43" s="510">
        <f t="shared" si="11"/>
        <v>1902825.0250669331</v>
      </c>
      <c r="G43" s="511">
        <f t="shared" si="12"/>
        <v>504648.58024011902</v>
      </c>
      <c r="H43" s="477">
        <f t="shared" si="13"/>
        <v>504648.58024011902</v>
      </c>
      <c r="I43" s="500">
        <f t="shared" si="1"/>
        <v>0</v>
      </c>
      <c r="J43" s="500"/>
      <c r="K43" s="512"/>
      <c r="L43" s="504">
        <f t="shared" si="2"/>
        <v>0</v>
      </c>
      <c r="M43" s="512"/>
      <c r="N43" s="504">
        <f t="shared" si="3"/>
        <v>0</v>
      </c>
      <c r="O43" s="504">
        <f t="shared" si="4"/>
        <v>0</v>
      </c>
      <c r="P43" s="278"/>
    </row>
    <row r="44" spans="2:16">
      <c r="B44" s="145" t="str">
        <f t="shared" si="0"/>
        <v/>
      </c>
      <c r="C44" s="495">
        <f>IF(D11="","-",+C43+1)</f>
        <v>2045</v>
      </c>
      <c r="D44" s="508">
        <f>IF(F43+SUM(E$17:E43)=D$10,F43,D$10-SUM(E$17:E43))</f>
        <v>1902825.0250669331</v>
      </c>
      <c r="E44" s="509">
        <f t="shared" si="10"/>
        <v>270747.39393939392</v>
      </c>
      <c r="F44" s="510">
        <f t="shared" si="11"/>
        <v>1632077.6311275391</v>
      </c>
      <c r="G44" s="511">
        <f t="shared" si="12"/>
        <v>473577.94127564423</v>
      </c>
      <c r="H44" s="477">
        <f t="shared" si="13"/>
        <v>473577.94127564423</v>
      </c>
      <c r="I44" s="500">
        <f t="shared" si="1"/>
        <v>0</v>
      </c>
      <c r="J44" s="500"/>
      <c r="K44" s="512"/>
      <c r="L44" s="504">
        <f t="shared" si="2"/>
        <v>0</v>
      </c>
      <c r="M44" s="512"/>
      <c r="N44" s="504">
        <f t="shared" si="3"/>
        <v>0</v>
      </c>
      <c r="O44" s="504">
        <f t="shared" si="4"/>
        <v>0</v>
      </c>
      <c r="P44" s="278"/>
    </row>
    <row r="45" spans="2:16">
      <c r="B45" s="145" t="str">
        <f t="shared" si="0"/>
        <v/>
      </c>
      <c r="C45" s="495">
        <f>IF(D11="","-",+C44+1)</f>
        <v>2046</v>
      </c>
      <c r="D45" s="508">
        <f>IF(F44+SUM(E$17:E44)=D$10,F44,D$10-SUM(E$17:E44))</f>
        <v>1632077.6311275391</v>
      </c>
      <c r="E45" s="509">
        <f t="shared" si="10"/>
        <v>270747.39393939392</v>
      </c>
      <c r="F45" s="510">
        <f t="shared" si="11"/>
        <v>1361330.2371881451</v>
      </c>
      <c r="G45" s="511">
        <f t="shared" si="12"/>
        <v>442507.30231116945</v>
      </c>
      <c r="H45" s="477">
        <f t="shared" si="13"/>
        <v>442507.30231116945</v>
      </c>
      <c r="I45" s="500">
        <f t="shared" si="1"/>
        <v>0</v>
      </c>
      <c r="J45" s="500"/>
      <c r="K45" s="512"/>
      <c r="L45" s="504">
        <f t="shared" si="2"/>
        <v>0</v>
      </c>
      <c r="M45" s="512"/>
      <c r="N45" s="504">
        <f t="shared" si="3"/>
        <v>0</v>
      </c>
      <c r="O45" s="504">
        <f t="shared" si="4"/>
        <v>0</v>
      </c>
      <c r="P45" s="278"/>
    </row>
    <row r="46" spans="2:16">
      <c r="B46" s="145" t="str">
        <f t="shared" si="0"/>
        <v/>
      </c>
      <c r="C46" s="495">
        <f>IF(D11="","-",+C45+1)</f>
        <v>2047</v>
      </c>
      <c r="D46" s="508">
        <f>IF(F45+SUM(E$17:E45)=D$10,F45,D$10-SUM(E$17:E45))</f>
        <v>1361330.2371881451</v>
      </c>
      <c r="E46" s="509">
        <f t="shared" si="10"/>
        <v>270747.39393939392</v>
      </c>
      <c r="F46" s="510">
        <f t="shared" si="11"/>
        <v>1090582.843248751</v>
      </c>
      <c r="G46" s="511">
        <f t="shared" si="12"/>
        <v>411436.66334669467</v>
      </c>
      <c r="H46" s="477">
        <f t="shared" si="13"/>
        <v>411436.66334669467</v>
      </c>
      <c r="I46" s="500">
        <f t="shared" si="1"/>
        <v>0</v>
      </c>
      <c r="J46" s="500"/>
      <c r="K46" s="512"/>
      <c r="L46" s="504">
        <f t="shared" si="2"/>
        <v>0</v>
      </c>
      <c r="M46" s="512"/>
      <c r="N46" s="504">
        <f t="shared" si="3"/>
        <v>0</v>
      </c>
      <c r="O46" s="504">
        <f t="shared" si="4"/>
        <v>0</v>
      </c>
      <c r="P46" s="278"/>
    </row>
    <row r="47" spans="2:16">
      <c r="B47" s="145" t="str">
        <f t="shared" si="0"/>
        <v/>
      </c>
      <c r="C47" s="495">
        <f>IF(D11="","-",+C46+1)</f>
        <v>2048</v>
      </c>
      <c r="D47" s="508">
        <f>IF(F46+SUM(E$17:E46)=D$10,F46,D$10-SUM(E$17:E46))</f>
        <v>1090582.843248751</v>
      </c>
      <c r="E47" s="509">
        <f t="shared" si="10"/>
        <v>270747.39393939392</v>
      </c>
      <c r="F47" s="510">
        <f t="shared" si="11"/>
        <v>819835.44930935709</v>
      </c>
      <c r="G47" s="511">
        <f t="shared" si="12"/>
        <v>380366.02438221994</v>
      </c>
      <c r="H47" s="477">
        <f t="shared" si="13"/>
        <v>380366.02438221994</v>
      </c>
      <c r="I47" s="500">
        <f t="shared" si="1"/>
        <v>0</v>
      </c>
      <c r="J47" s="500"/>
      <c r="K47" s="512"/>
      <c r="L47" s="504">
        <f t="shared" si="2"/>
        <v>0</v>
      </c>
      <c r="M47" s="512"/>
      <c r="N47" s="504">
        <f t="shared" si="3"/>
        <v>0</v>
      </c>
      <c r="O47" s="504">
        <f t="shared" si="4"/>
        <v>0</v>
      </c>
      <c r="P47" s="278"/>
    </row>
    <row r="48" spans="2:16">
      <c r="B48" s="145" t="str">
        <f t="shared" si="0"/>
        <v/>
      </c>
      <c r="C48" s="495">
        <f>IF(D11="","-",+C47+1)</f>
        <v>2049</v>
      </c>
      <c r="D48" s="508">
        <f>IF(F47+SUM(E$17:E47)=D$10,F47,D$10-SUM(E$17:E47))</f>
        <v>819835.44930935709</v>
      </c>
      <c r="E48" s="509">
        <f t="shared" si="10"/>
        <v>270747.39393939392</v>
      </c>
      <c r="F48" s="510">
        <f t="shared" si="11"/>
        <v>549088.05536996317</v>
      </c>
      <c r="G48" s="511">
        <f t="shared" si="12"/>
        <v>349295.38541774516</v>
      </c>
      <c r="H48" s="477">
        <f t="shared" si="13"/>
        <v>349295.38541774516</v>
      </c>
      <c r="I48" s="500">
        <f t="shared" si="1"/>
        <v>0</v>
      </c>
      <c r="J48" s="500"/>
      <c r="K48" s="512"/>
      <c r="L48" s="504">
        <f t="shared" si="2"/>
        <v>0</v>
      </c>
      <c r="M48" s="512"/>
      <c r="N48" s="504">
        <f t="shared" si="3"/>
        <v>0</v>
      </c>
      <c r="O48" s="504">
        <f t="shared" si="4"/>
        <v>0</v>
      </c>
      <c r="P48" s="278"/>
    </row>
    <row r="49" spans="2:16">
      <c r="B49" s="145" t="str">
        <f t="shared" si="0"/>
        <v/>
      </c>
      <c r="C49" s="495">
        <f>IF(D11="","-",+C48+1)</f>
        <v>2050</v>
      </c>
      <c r="D49" s="508">
        <f>IF(F48+SUM(E$17:E48)=D$10,F48,D$10-SUM(E$17:E48))</f>
        <v>549088.05536996317</v>
      </c>
      <c r="E49" s="509">
        <f t="shared" si="10"/>
        <v>270747.39393939392</v>
      </c>
      <c r="F49" s="510">
        <f t="shared" si="11"/>
        <v>278340.66143056925</v>
      </c>
      <c r="G49" s="511">
        <f t="shared" si="12"/>
        <v>318224.74645327043</v>
      </c>
      <c r="H49" s="477">
        <f t="shared" si="13"/>
        <v>318224.74645327043</v>
      </c>
      <c r="I49" s="500">
        <f t="shared" si="1"/>
        <v>0</v>
      </c>
      <c r="J49" s="500"/>
      <c r="K49" s="512"/>
      <c r="L49" s="504">
        <f t="shared" si="2"/>
        <v>0</v>
      </c>
      <c r="M49" s="512"/>
      <c r="N49" s="504">
        <f t="shared" si="3"/>
        <v>0</v>
      </c>
      <c r="O49" s="504">
        <f t="shared" si="4"/>
        <v>0</v>
      </c>
      <c r="P49" s="278"/>
    </row>
    <row r="50" spans="2:16">
      <c r="B50" s="145" t="str">
        <f t="shared" si="0"/>
        <v/>
      </c>
      <c r="C50" s="495">
        <f>IF(D11="","-",+C49+1)</f>
        <v>2051</v>
      </c>
      <c r="D50" s="508">
        <f>IF(F49+SUM(E$17:E49)=D$10,F49,D$10-SUM(E$17:E49))</f>
        <v>278340.66143056925</v>
      </c>
      <c r="E50" s="509">
        <f t="shared" si="10"/>
        <v>270747.39393939392</v>
      </c>
      <c r="F50" s="510">
        <f t="shared" si="11"/>
        <v>7593.2674911753275</v>
      </c>
      <c r="G50" s="511">
        <f t="shared" si="12"/>
        <v>287154.10748879565</v>
      </c>
      <c r="H50" s="477">
        <f t="shared" si="13"/>
        <v>287154.10748879565</v>
      </c>
      <c r="I50" s="500">
        <f t="shared" si="1"/>
        <v>0</v>
      </c>
      <c r="J50" s="500"/>
      <c r="K50" s="512"/>
      <c r="L50" s="504">
        <f t="shared" si="2"/>
        <v>0</v>
      </c>
      <c r="M50" s="512"/>
      <c r="N50" s="504">
        <f t="shared" si="3"/>
        <v>0</v>
      </c>
      <c r="O50" s="504">
        <f t="shared" si="4"/>
        <v>0</v>
      </c>
      <c r="P50" s="278"/>
    </row>
    <row r="51" spans="2:16">
      <c r="B51" s="145" t="str">
        <f t="shared" si="0"/>
        <v/>
      </c>
      <c r="C51" s="495">
        <f>IF(D11="","-",+C50+1)</f>
        <v>2052</v>
      </c>
      <c r="D51" s="508">
        <f>IF(F50+SUM(E$17:E50)=D$10,F50,D$10-SUM(E$17:E50))</f>
        <v>7593.2674911753275</v>
      </c>
      <c r="E51" s="509">
        <f t="shared" si="10"/>
        <v>7593.2674911753275</v>
      </c>
      <c r="F51" s="510">
        <f t="shared" si="11"/>
        <v>0</v>
      </c>
      <c r="G51" s="511">
        <f t="shared" si="12"/>
        <v>8028.9645247574927</v>
      </c>
      <c r="H51" s="477">
        <f t="shared" si="13"/>
        <v>8028.9645247574927</v>
      </c>
      <c r="I51" s="500">
        <f t="shared" si="1"/>
        <v>0</v>
      </c>
      <c r="J51" s="500"/>
      <c r="K51" s="512"/>
      <c r="L51" s="504">
        <f t="shared" si="2"/>
        <v>0</v>
      </c>
      <c r="M51" s="512"/>
      <c r="N51" s="504">
        <f t="shared" si="3"/>
        <v>0</v>
      </c>
      <c r="O51" s="504">
        <f t="shared" si="4"/>
        <v>0</v>
      </c>
      <c r="P51" s="278"/>
    </row>
    <row r="52" spans="2:16">
      <c r="B52" s="145" t="str">
        <f t="shared" si="0"/>
        <v/>
      </c>
      <c r="C52" s="495">
        <f>IF(D11="","-",+C51+1)</f>
        <v>2053</v>
      </c>
      <c r="D52" s="508">
        <f>IF(F51+SUM(E$17:E51)=D$10,F51,D$10-SUM(E$17:E51))</f>
        <v>0</v>
      </c>
      <c r="E52" s="509">
        <f t="shared" si="10"/>
        <v>0</v>
      </c>
      <c r="F52" s="510">
        <f t="shared" si="11"/>
        <v>0</v>
      </c>
      <c r="G52" s="511">
        <f t="shared" si="12"/>
        <v>0</v>
      </c>
      <c r="H52" s="477">
        <f t="shared" si="13"/>
        <v>0</v>
      </c>
      <c r="I52" s="500">
        <f t="shared" si="1"/>
        <v>0</v>
      </c>
      <c r="J52" s="500"/>
      <c r="K52" s="512"/>
      <c r="L52" s="504">
        <f t="shared" si="2"/>
        <v>0</v>
      </c>
      <c r="M52" s="512"/>
      <c r="N52" s="504">
        <f t="shared" si="3"/>
        <v>0</v>
      </c>
      <c r="O52" s="504">
        <f t="shared" si="4"/>
        <v>0</v>
      </c>
      <c r="P52" s="278"/>
    </row>
    <row r="53" spans="2:16">
      <c r="B53" s="145" t="str">
        <f t="shared" si="0"/>
        <v/>
      </c>
      <c r="C53" s="495">
        <f>IF(D11="","-",+C52+1)</f>
        <v>2054</v>
      </c>
      <c r="D53" s="508">
        <f>IF(F52+SUM(E$17:E52)=D$10,F52,D$10-SUM(E$17:E52))</f>
        <v>0</v>
      </c>
      <c r="E53" s="509">
        <f t="shared" si="10"/>
        <v>0</v>
      </c>
      <c r="F53" s="510">
        <f t="shared" si="11"/>
        <v>0</v>
      </c>
      <c r="G53" s="511">
        <f t="shared" si="12"/>
        <v>0</v>
      </c>
      <c r="H53" s="477">
        <f t="shared" si="13"/>
        <v>0</v>
      </c>
      <c r="I53" s="500">
        <f t="shared" si="1"/>
        <v>0</v>
      </c>
      <c r="J53" s="500"/>
      <c r="K53" s="512"/>
      <c r="L53" s="504">
        <f t="shared" si="2"/>
        <v>0</v>
      </c>
      <c r="M53" s="512"/>
      <c r="N53" s="504">
        <f t="shared" si="3"/>
        <v>0</v>
      </c>
      <c r="O53" s="504">
        <f t="shared" si="4"/>
        <v>0</v>
      </c>
      <c r="P53" s="278"/>
    </row>
    <row r="54" spans="2:16">
      <c r="B54" s="145" t="str">
        <f t="shared" si="0"/>
        <v/>
      </c>
      <c r="C54" s="495">
        <f>IF(D11="","-",+C53+1)</f>
        <v>2055</v>
      </c>
      <c r="D54" s="508">
        <f>IF(F53+SUM(E$17:E53)=D$10,F53,D$10-SUM(E$17:E53))</f>
        <v>0</v>
      </c>
      <c r="E54" s="509">
        <f t="shared" si="10"/>
        <v>0</v>
      </c>
      <c r="F54" s="510">
        <f t="shared" si="11"/>
        <v>0</v>
      </c>
      <c r="G54" s="511">
        <f t="shared" si="12"/>
        <v>0</v>
      </c>
      <c r="H54" s="477">
        <f t="shared" si="13"/>
        <v>0</v>
      </c>
      <c r="I54" s="500">
        <f t="shared" si="1"/>
        <v>0</v>
      </c>
      <c r="J54" s="500"/>
      <c r="K54" s="512"/>
      <c r="L54" s="504">
        <f t="shared" si="2"/>
        <v>0</v>
      </c>
      <c r="M54" s="512"/>
      <c r="N54" s="504">
        <f t="shared" si="3"/>
        <v>0</v>
      </c>
      <c r="O54" s="504">
        <f t="shared" si="4"/>
        <v>0</v>
      </c>
      <c r="P54" s="278"/>
    </row>
    <row r="55" spans="2:16">
      <c r="B55" s="145" t="str">
        <f t="shared" si="0"/>
        <v/>
      </c>
      <c r="C55" s="495">
        <f>IF(D11="","-",+C54+1)</f>
        <v>2056</v>
      </c>
      <c r="D55" s="508">
        <f>IF(F54+SUM(E$17:E54)=D$10,F54,D$10-SUM(E$17:E54))</f>
        <v>0</v>
      </c>
      <c r="E55" s="509">
        <f t="shared" si="10"/>
        <v>0</v>
      </c>
      <c r="F55" s="510">
        <f t="shared" si="11"/>
        <v>0</v>
      </c>
      <c r="G55" s="511">
        <f t="shared" si="12"/>
        <v>0</v>
      </c>
      <c r="H55" s="477">
        <f t="shared" si="13"/>
        <v>0</v>
      </c>
      <c r="I55" s="500">
        <f t="shared" si="1"/>
        <v>0</v>
      </c>
      <c r="J55" s="500"/>
      <c r="K55" s="512"/>
      <c r="L55" s="504">
        <f t="shared" si="2"/>
        <v>0</v>
      </c>
      <c r="M55" s="512"/>
      <c r="N55" s="504">
        <f t="shared" si="3"/>
        <v>0</v>
      </c>
      <c r="O55" s="504">
        <f t="shared" si="4"/>
        <v>0</v>
      </c>
      <c r="P55" s="278"/>
    </row>
    <row r="56" spans="2:16">
      <c r="B56" s="145" t="str">
        <f t="shared" si="0"/>
        <v/>
      </c>
      <c r="C56" s="495">
        <f>IF(D11="","-",+C55+1)</f>
        <v>2057</v>
      </c>
      <c r="D56" s="508">
        <f>IF(F55+SUM(E$17:E55)=D$10,F55,D$10-SUM(E$17:E55))</f>
        <v>0</v>
      </c>
      <c r="E56" s="509">
        <f t="shared" si="10"/>
        <v>0</v>
      </c>
      <c r="F56" s="510">
        <f t="shared" si="11"/>
        <v>0</v>
      </c>
      <c r="G56" s="511">
        <f t="shared" si="12"/>
        <v>0</v>
      </c>
      <c r="H56" s="477">
        <f t="shared" si="13"/>
        <v>0</v>
      </c>
      <c r="I56" s="500">
        <f t="shared" si="1"/>
        <v>0</v>
      </c>
      <c r="J56" s="500"/>
      <c r="K56" s="512"/>
      <c r="L56" s="504">
        <f t="shared" si="2"/>
        <v>0</v>
      </c>
      <c r="M56" s="512"/>
      <c r="N56" s="504">
        <f t="shared" si="3"/>
        <v>0</v>
      </c>
      <c r="O56" s="504">
        <f t="shared" si="4"/>
        <v>0</v>
      </c>
      <c r="P56" s="278"/>
    </row>
    <row r="57" spans="2:16">
      <c r="B57" s="145" t="str">
        <f t="shared" si="0"/>
        <v/>
      </c>
      <c r="C57" s="495">
        <f>IF(D11="","-",+C56+1)</f>
        <v>2058</v>
      </c>
      <c r="D57" s="508">
        <f>IF(F56+SUM(E$17:E56)=D$10,F56,D$10-SUM(E$17:E56))</f>
        <v>0</v>
      </c>
      <c r="E57" s="509">
        <f t="shared" si="10"/>
        <v>0</v>
      </c>
      <c r="F57" s="510">
        <f t="shared" si="11"/>
        <v>0</v>
      </c>
      <c r="G57" s="511">
        <f t="shared" si="12"/>
        <v>0</v>
      </c>
      <c r="H57" s="477">
        <f t="shared" si="13"/>
        <v>0</v>
      </c>
      <c r="I57" s="500">
        <f t="shared" si="1"/>
        <v>0</v>
      </c>
      <c r="J57" s="500"/>
      <c r="K57" s="512"/>
      <c r="L57" s="504">
        <f t="shared" si="2"/>
        <v>0</v>
      </c>
      <c r="M57" s="512"/>
      <c r="N57" s="504">
        <f t="shared" si="3"/>
        <v>0</v>
      </c>
      <c r="O57" s="504">
        <f t="shared" si="4"/>
        <v>0</v>
      </c>
      <c r="P57" s="278"/>
    </row>
    <row r="58" spans="2:16">
      <c r="B58" s="145" t="str">
        <f t="shared" si="0"/>
        <v/>
      </c>
      <c r="C58" s="495">
        <f>IF(D11="","-",+C57+1)</f>
        <v>2059</v>
      </c>
      <c r="D58" s="508">
        <f>IF(F57+SUM(E$17:E57)=D$10,F57,D$10-SUM(E$17:E57))</f>
        <v>0</v>
      </c>
      <c r="E58" s="509">
        <f t="shared" si="10"/>
        <v>0</v>
      </c>
      <c r="F58" s="510">
        <f t="shared" si="11"/>
        <v>0</v>
      </c>
      <c r="G58" s="511">
        <f t="shared" si="12"/>
        <v>0</v>
      </c>
      <c r="H58" s="477">
        <f t="shared" si="13"/>
        <v>0</v>
      </c>
      <c r="I58" s="500">
        <f t="shared" si="1"/>
        <v>0</v>
      </c>
      <c r="J58" s="500"/>
      <c r="K58" s="512"/>
      <c r="L58" s="504">
        <f t="shared" si="2"/>
        <v>0</v>
      </c>
      <c r="M58" s="512"/>
      <c r="N58" s="504">
        <f t="shared" si="3"/>
        <v>0</v>
      </c>
      <c r="O58" s="504">
        <f t="shared" si="4"/>
        <v>0</v>
      </c>
      <c r="P58" s="278"/>
    </row>
    <row r="59" spans="2:16">
      <c r="B59" s="145" t="str">
        <f t="shared" si="0"/>
        <v/>
      </c>
      <c r="C59" s="495">
        <f>IF(D11="","-",+C58+1)</f>
        <v>2060</v>
      </c>
      <c r="D59" s="508">
        <f>IF(F58+SUM(E$17:E58)=D$10,F58,D$10-SUM(E$17:E58))</f>
        <v>0</v>
      </c>
      <c r="E59" s="509">
        <f t="shared" si="10"/>
        <v>0</v>
      </c>
      <c r="F59" s="510">
        <f t="shared" si="11"/>
        <v>0</v>
      </c>
      <c r="G59" s="511">
        <f t="shared" si="12"/>
        <v>0</v>
      </c>
      <c r="H59" s="477">
        <f t="shared" si="13"/>
        <v>0</v>
      </c>
      <c r="I59" s="500">
        <f t="shared" si="1"/>
        <v>0</v>
      </c>
      <c r="J59" s="500"/>
      <c r="K59" s="512"/>
      <c r="L59" s="504">
        <f t="shared" si="2"/>
        <v>0</v>
      </c>
      <c r="M59" s="512"/>
      <c r="N59" s="504">
        <f t="shared" si="3"/>
        <v>0</v>
      </c>
      <c r="O59" s="504">
        <f t="shared" si="4"/>
        <v>0</v>
      </c>
      <c r="P59" s="278"/>
    </row>
    <row r="60" spans="2:16">
      <c r="B60" s="145" t="str">
        <f t="shared" si="0"/>
        <v/>
      </c>
      <c r="C60" s="495">
        <f>IF(D11="","-",+C59+1)</f>
        <v>2061</v>
      </c>
      <c r="D60" s="508">
        <f>IF(F59+SUM(E$17:E59)=D$10,F59,D$10-SUM(E$17:E59))</f>
        <v>0</v>
      </c>
      <c r="E60" s="509">
        <f t="shared" si="10"/>
        <v>0</v>
      </c>
      <c r="F60" s="510">
        <f t="shared" si="11"/>
        <v>0</v>
      </c>
      <c r="G60" s="511">
        <f t="shared" si="12"/>
        <v>0</v>
      </c>
      <c r="H60" s="477">
        <f t="shared" si="13"/>
        <v>0</v>
      </c>
      <c r="I60" s="500">
        <f t="shared" si="1"/>
        <v>0</v>
      </c>
      <c r="J60" s="500"/>
      <c r="K60" s="512"/>
      <c r="L60" s="504">
        <f t="shared" si="2"/>
        <v>0</v>
      </c>
      <c r="M60" s="512"/>
      <c r="N60" s="504">
        <f t="shared" si="3"/>
        <v>0</v>
      </c>
      <c r="O60" s="504">
        <f t="shared" si="4"/>
        <v>0</v>
      </c>
      <c r="P60" s="278"/>
    </row>
    <row r="61" spans="2:16">
      <c r="B61" s="145" t="str">
        <f t="shared" si="0"/>
        <v/>
      </c>
      <c r="C61" s="495">
        <f>IF(D11="","-",+C60+1)</f>
        <v>2062</v>
      </c>
      <c r="D61" s="508">
        <f>IF(F60+SUM(E$17:E60)=D$10,F60,D$10-SUM(E$17:E60))</f>
        <v>0</v>
      </c>
      <c r="E61" s="509">
        <f t="shared" si="10"/>
        <v>0</v>
      </c>
      <c r="F61" s="510">
        <f t="shared" si="11"/>
        <v>0</v>
      </c>
      <c r="G61" s="523">
        <f t="shared" si="12"/>
        <v>0</v>
      </c>
      <c r="H61" s="477">
        <f t="shared" si="13"/>
        <v>0</v>
      </c>
      <c r="I61" s="500">
        <f t="shared" si="1"/>
        <v>0</v>
      </c>
      <c r="J61" s="500"/>
      <c r="K61" s="512"/>
      <c r="L61" s="504">
        <f t="shared" si="2"/>
        <v>0</v>
      </c>
      <c r="M61" s="512"/>
      <c r="N61" s="504">
        <f t="shared" si="3"/>
        <v>0</v>
      </c>
      <c r="O61" s="504">
        <f t="shared" si="4"/>
        <v>0</v>
      </c>
      <c r="P61" s="278"/>
    </row>
    <row r="62" spans="2:16">
      <c r="B62" s="145" t="str">
        <f t="shared" si="0"/>
        <v/>
      </c>
      <c r="C62" s="495">
        <f>IF(D11="","-",+C61+1)</f>
        <v>2063</v>
      </c>
      <c r="D62" s="508">
        <f>IF(F61+SUM(E$17:E61)=D$10,F61,D$10-SUM(E$17:E61))</f>
        <v>0</v>
      </c>
      <c r="E62" s="509">
        <f t="shared" si="10"/>
        <v>0</v>
      </c>
      <c r="F62" s="510">
        <f t="shared" si="11"/>
        <v>0</v>
      </c>
      <c r="G62" s="523">
        <f t="shared" si="12"/>
        <v>0</v>
      </c>
      <c r="H62" s="477">
        <f t="shared" si="13"/>
        <v>0</v>
      </c>
      <c r="I62" s="500">
        <f t="shared" si="1"/>
        <v>0</v>
      </c>
      <c r="J62" s="500"/>
      <c r="K62" s="512"/>
      <c r="L62" s="504">
        <f t="shared" si="2"/>
        <v>0</v>
      </c>
      <c r="M62" s="512"/>
      <c r="N62" s="504">
        <f t="shared" si="3"/>
        <v>0</v>
      </c>
      <c r="O62" s="504">
        <f t="shared" si="4"/>
        <v>0</v>
      </c>
      <c r="P62" s="278"/>
    </row>
    <row r="63" spans="2:16">
      <c r="B63" s="145" t="str">
        <f t="shared" si="0"/>
        <v/>
      </c>
      <c r="C63" s="495">
        <f>IF(D11="","-",+C62+1)</f>
        <v>2064</v>
      </c>
      <c r="D63" s="508">
        <f>IF(F62+SUM(E$17:E62)=D$10,F62,D$10-SUM(E$17:E62))</f>
        <v>0</v>
      </c>
      <c r="E63" s="509">
        <f t="shared" si="10"/>
        <v>0</v>
      </c>
      <c r="F63" s="510">
        <f t="shared" si="11"/>
        <v>0</v>
      </c>
      <c r="G63" s="523">
        <f t="shared" si="12"/>
        <v>0</v>
      </c>
      <c r="H63" s="477">
        <f t="shared" si="13"/>
        <v>0</v>
      </c>
      <c r="I63" s="500">
        <f t="shared" si="1"/>
        <v>0</v>
      </c>
      <c r="J63" s="500"/>
      <c r="K63" s="512"/>
      <c r="L63" s="504">
        <f t="shared" si="2"/>
        <v>0</v>
      </c>
      <c r="M63" s="512"/>
      <c r="N63" s="504">
        <f t="shared" si="3"/>
        <v>0</v>
      </c>
      <c r="O63" s="504">
        <f t="shared" si="4"/>
        <v>0</v>
      </c>
      <c r="P63" s="278"/>
    </row>
    <row r="64" spans="2:16">
      <c r="B64" s="145" t="str">
        <f t="shared" si="0"/>
        <v/>
      </c>
      <c r="C64" s="495">
        <f>IF(D11="","-",+C63+1)</f>
        <v>2065</v>
      </c>
      <c r="D64" s="508">
        <f>IF(F63+SUM(E$17:E63)=D$10,F63,D$10-SUM(E$17:E63))</f>
        <v>0</v>
      </c>
      <c r="E64" s="509">
        <f t="shared" si="10"/>
        <v>0</v>
      </c>
      <c r="F64" s="510">
        <f t="shared" si="11"/>
        <v>0</v>
      </c>
      <c r="G64" s="523">
        <f t="shared" si="12"/>
        <v>0</v>
      </c>
      <c r="H64" s="477">
        <f t="shared" si="13"/>
        <v>0</v>
      </c>
      <c r="I64" s="500">
        <f t="shared" si="1"/>
        <v>0</v>
      </c>
      <c r="J64" s="500"/>
      <c r="K64" s="512"/>
      <c r="L64" s="504">
        <f t="shared" si="2"/>
        <v>0</v>
      </c>
      <c r="M64" s="512"/>
      <c r="N64" s="504">
        <f t="shared" si="3"/>
        <v>0</v>
      </c>
      <c r="O64" s="504">
        <f t="shared" si="4"/>
        <v>0</v>
      </c>
      <c r="P64" s="278"/>
    </row>
    <row r="65" spans="2:16">
      <c r="B65" s="145" t="str">
        <f t="shared" si="0"/>
        <v/>
      </c>
      <c r="C65" s="495">
        <f>IF(D11="","-",+C64+1)</f>
        <v>2066</v>
      </c>
      <c r="D65" s="508">
        <f>IF(F64+SUM(E$17:E64)=D$10,F64,D$10-SUM(E$17:E64))</f>
        <v>0</v>
      </c>
      <c r="E65" s="509">
        <f t="shared" si="10"/>
        <v>0</v>
      </c>
      <c r="F65" s="510">
        <f t="shared" si="11"/>
        <v>0</v>
      </c>
      <c r="G65" s="523">
        <f t="shared" si="12"/>
        <v>0</v>
      </c>
      <c r="H65" s="477">
        <f t="shared" si="13"/>
        <v>0</v>
      </c>
      <c r="I65" s="500">
        <f t="shared" si="1"/>
        <v>0</v>
      </c>
      <c r="J65" s="500"/>
      <c r="K65" s="512"/>
      <c r="L65" s="504">
        <f t="shared" si="2"/>
        <v>0</v>
      </c>
      <c r="M65" s="512"/>
      <c r="N65" s="504">
        <f t="shared" si="3"/>
        <v>0</v>
      </c>
      <c r="O65" s="504">
        <f t="shared" si="4"/>
        <v>0</v>
      </c>
      <c r="P65" s="278"/>
    </row>
    <row r="66" spans="2:16">
      <c r="B66" s="145" t="str">
        <f t="shared" si="0"/>
        <v/>
      </c>
      <c r="C66" s="495">
        <f>IF(D11="","-",+C65+1)</f>
        <v>2067</v>
      </c>
      <c r="D66" s="508">
        <f>IF(F65+SUM(E$17:E65)=D$10,F65,D$10-SUM(E$17:E65))</f>
        <v>0</v>
      </c>
      <c r="E66" s="509">
        <f t="shared" si="10"/>
        <v>0</v>
      </c>
      <c r="F66" s="510">
        <f t="shared" si="11"/>
        <v>0</v>
      </c>
      <c r="G66" s="523">
        <f t="shared" si="12"/>
        <v>0</v>
      </c>
      <c r="H66" s="477">
        <f t="shared" si="13"/>
        <v>0</v>
      </c>
      <c r="I66" s="500">
        <f t="shared" si="1"/>
        <v>0</v>
      </c>
      <c r="J66" s="500"/>
      <c r="K66" s="512"/>
      <c r="L66" s="504">
        <f t="shared" si="2"/>
        <v>0</v>
      </c>
      <c r="M66" s="512"/>
      <c r="N66" s="504">
        <f t="shared" si="3"/>
        <v>0</v>
      </c>
      <c r="O66" s="504">
        <f t="shared" si="4"/>
        <v>0</v>
      </c>
      <c r="P66" s="278"/>
    </row>
    <row r="67" spans="2:16">
      <c r="B67" s="145" t="str">
        <f t="shared" si="0"/>
        <v/>
      </c>
      <c r="C67" s="495">
        <f>IF(D11="","-",+C66+1)</f>
        <v>2068</v>
      </c>
      <c r="D67" s="508">
        <f>IF(F66+SUM(E$17:E66)=D$10,F66,D$10-SUM(E$17:E66))</f>
        <v>0</v>
      </c>
      <c r="E67" s="509">
        <f t="shared" si="10"/>
        <v>0</v>
      </c>
      <c r="F67" s="510">
        <f t="shared" si="11"/>
        <v>0</v>
      </c>
      <c r="G67" s="523">
        <f t="shared" si="12"/>
        <v>0</v>
      </c>
      <c r="H67" s="477">
        <f t="shared" si="13"/>
        <v>0</v>
      </c>
      <c r="I67" s="500">
        <f t="shared" si="1"/>
        <v>0</v>
      </c>
      <c r="J67" s="500"/>
      <c r="K67" s="512"/>
      <c r="L67" s="504">
        <f t="shared" si="2"/>
        <v>0</v>
      </c>
      <c r="M67" s="512"/>
      <c r="N67" s="504">
        <f t="shared" si="3"/>
        <v>0</v>
      </c>
      <c r="O67" s="504">
        <f t="shared" si="4"/>
        <v>0</v>
      </c>
      <c r="P67" s="278"/>
    </row>
    <row r="68" spans="2:16">
      <c r="B68" s="145" t="str">
        <f t="shared" si="0"/>
        <v/>
      </c>
      <c r="C68" s="495">
        <f>IF(D11="","-",+C67+1)</f>
        <v>2069</v>
      </c>
      <c r="D68" s="508">
        <f>IF(F67+SUM(E$17:E67)=D$10,F67,D$10-SUM(E$17:E67))</f>
        <v>0</v>
      </c>
      <c r="E68" s="509">
        <f t="shared" si="10"/>
        <v>0</v>
      </c>
      <c r="F68" s="510">
        <f t="shared" si="11"/>
        <v>0</v>
      </c>
      <c r="G68" s="523">
        <f t="shared" si="12"/>
        <v>0</v>
      </c>
      <c r="H68" s="477">
        <f t="shared" si="13"/>
        <v>0</v>
      </c>
      <c r="I68" s="500">
        <f t="shared" si="1"/>
        <v>0</v>
      </c>
      <c r="J68" s="500"/>
      <c r="K68" s="512"/>
      <c r="L68" s="504">
        <f t="shared" si="2"/>
        <v>0</v>
      </c>
      <c r="M68" s="512"/>
      <c r="N68" s="504">
        <f t="shared" si="3"/>
        <v>0</v>
      </c>
      <c r="O68" s="504">
        <f t="shared" si="4"/>
        <v>0</v>
      </c>
      <c r="P68" s="278"/>
    </row>
    <row r="69" spans="2:16">
      <c r="B69" s="145" t="str">
        <f t="shared" si="0"/>
        <v/>
      </c>
      <c r="C69" s="495">
        <f>IF(D11="","-",+C68+1)</f>
        <v>2070</v>
      </c>
      <c r="D69" s="508">
        <f>IF(F68+SUM(E$17:E68)=D$10,F68,D$10-SUM(E$17:E68))</f>
        <v>0</v>
      </c>
      <c r="E69" s="509">
        <f t="shared" si="10"/>
        <v>0</v>
      </c>
      <c r="F69" s="510">
        <f t="shared" si="11"/>
        <v>0</v>
      </c>
      <c r="G69" s="523">
        <f t="shared" si="12"/>
        <v>0</v>
      </c>
      <c r="H69" s="477">
        <f t="shared" si="13"/>
        <v>0</v>
      </c>
      <c r="I69" s="500">
        <f t="shared" si="1"/>
        <v>0</v>
      </c>
      <c r="J69" s="500"/>
      <c r="K69" s="512"/>
      <c r="L69" s="504">
        <f t="shared" si="2"/>
        <v>0</v>
      </c>
      <c r="M69" s="512"/>
      <c r="N69" s="504">
        <f t="shared" si="3"/>
        <v>0</v>
      </c>
      <c r="O69" s="504">
        <f t="shared" si="4"/>
        <v>0</v>
      </c>
      <c r="P69" s="278"/>
    </row>
    <row r="70" spans="2:16">
      <c r="B70" s="145" t="str">
        <f t="shared" si="0"/>
        <v/>
      </c>
      <c r="C70" s="495">
        <f>IF(D11="","-",+C69+1)</f>
        <v>2071</v>
      </c>
      <c r="D70" s="508">
        <f>IF(F69+SUM(E$17:E69)=D$10,F69,D$10-SUM(E$17:E69))</f>
        <v>0</v>
      </c>
      <c r="E70" s="509">
        <f t="shared" si="10"/>
        <v>0</v>
      </c>
      <c r="F70" s="510">
        <f t="shared" si="11"/>
        <v>0</v>
      </c>
      <c r="G70" s="523">
        <f t="shared" si="12"/>
        <v>0</v>
      </c>
      <c r="H70" s="477">
        <f t="shared" si="13"/>
        <v>0</v>
      </c>
      <c r="I70" s="500">
        <f t="shared" si="1"/>
        <v>0</v>
      </c>
      <c r="J70" s="500"/>
      <c r="K70" s="512"/>
      <c r="L70" s="504">
        <f t="shared" si="2"/>
        <v>0</v>
      </c>
      <c r="M70" s="512"/>
      <c r="N70" s="504">
        <f t="shared" si="3"/>
        <v>0</v>
      </c>
      <c r="O70" s="504">
        <f t="shared" si="4"/>
        <v>0</v>
      </c>
      <c r="P70" s="278"/>
    </row>
    <row r="71" spans="2:16">
      <c r="B71" s="145" t="str">
        <f t="shared" si="0"/>
        <v/>
      </c>
      <c r="C71" s="495">
        <f>IF(D11="","-",+C70+1)</f>
        <v>2072</v>
      </c>
      <c r="D71" s="508">
        <f>IF(F70+SUM(E$17:E70)=D$10,F70,D$10-SUM(E$17:E70))</f>
        <v>0</v>
      </c>
      <c r="E71" s="509">
        <f t="shared" si="10"/>
        <v>0</v>
      </c>
      <c r="F71" s="510">
        <f t="shared" si="11"/>
        <v>0</v>
      </c>
      <c r="G71" s="523">
        <f t="shared" si="12"/>
        <v>0</v>
      </c>
      <c r="H71" s="477">
        <f t="shared" si="13"/>
        <v>0</v>
      </c>
      <c r="I71" s="500">
        <f t="shared" si="1"/>
        <v>0</v>
      </c>
      <c r="J71" s="500"/>
      <c r="K71" s="512"/>
      <c r="L71" s="504">
        <f t="shared" si="2"/>
        <v>0</v>
      </c>
      <c r="M71" s="512"/>
      <c r="N71" s="504">
        <f t="shared" si="3"/>
        <v>0</v>
      </c>
      <c r="O71" s="504">
        <f t="shared" si="4"/>
        <v>0</v>
      </c>
      <c r="P71" s="278"/>
    </row>
    <row r="72" spans="2:16">
      <c r="C72" s="495">
        <f>IF(D12="","-",+C71+1)</f>
        <v>2073</v>
      </c>
      <c r="D72" s="508">
        <f>IF(F71+SUM(E$17:E71)=D$10,F71,D$10-SUM(E$17:E71))</f>
        <v>0</v>
      </c>
      <c r="E72" s="509">
        <f>IF(+I$14&lt;F71,I$14,D72)</f>
        <v>0</v>
      </c>
      <c r="F72" s="510">
        <f>+D72-E72</f>
        <v>0</v>
      </c>
      <c r="G72" s="523">
        <f>(D72+F72)/2*I$12+E72</f>
        <v>0</v>
      </c>
      <c r="H72" s="477">
        <f>+(D72+F72)/2*I$13+E72</f>
        <v>0</v>
      </c>
      <c r="I72" s="500">
        <f>H72-G72</f>
        <v>0</v>
      </c>
      <c r="J72" s="500"/>
      <c r="K72" s="512"/>
      <c r="L72" s="504">
        <f>IF(K72&lt;&gt;0,+G72-K72,0)</f>
        <v>0</v>
      </c>
      <c r="M72" s="512"/>
      <c r="N72" s="504">
        <f>IF(M72&lt;&gt;0,+H72-M72,0)</f>
        <v>0</v>
      </c>
      <c r="O72" s="504">
        <f>+N72-L72</f>
        <v>0</v>
      </c>
      <c r="P72" s="278"/>
    </row>
    <row r="73" spans="2:16" ht="13.5" thickBot="1">
      <c r="B73" s="145" t="str">
        <f>IF(D73=F71,"","IU")</f>
        <v/>
      </c>
      <c r="C73" s="524">
        <f>IF(D13="","-",+C72+1)</f>
        <v>2074</v>
      </c>
      <c r="D73" s="526">
        <f>IF(F72+SUM(E$17:E72)=D$10,F72,D$10-SUM(E$17:E72))</f>
        <v>0</v>
      </c>
      <c r="E73" s="526">
        <f>IF(+I$14&lt;F72,I$14,D73)</f>
        <v>0</v>
      </c>
      <c r="F73" s="527">
        <f>+D73-E73</f>
        <v>0</v>
      </c>
      <c r="G73" s="528">
        <f>(D73+F73)/2*I$12+E73</f>
        <v>0</v>
      </c>
      <c r="H73" s="458">
        <f>+(D73+F73)/2*I$13+E73</f>
        <v>0</v>
      </c>
      <c r="I73" s="529">
        <f>H73-G73</f>
        <v>0</v>
      </c>
      <c r="J73" s="500"/>
      <c r="K73" s="530"/>
      <c r="L73" s="531">
        <f>IF(K73&lt;&gt;0,+G73-K73,0)</f>
        <v>0</v>
      </c>
      <c r="M73" s="530"/>
      <c r="N73" s="531">
        <f>IF(M73&lt;&gt;0,+H73-M73,0)</f>
        <v>0</v>
      </c>
      <c r="O73" s="531">
        <f>+N73-L73</f>
        <v>0</v>
      </c>
      <c r="P73" s="278"/>
    </row>
    <row r="74" spans="2:16">
      <c r="C74" s="349" t="s">
        <v>75</v>
      </c>
      <c r="D74" s="294"/>
      <c r="E74" s="294">
        <f>SUM(E17:E73)</f>
        <v>8934663.9999999963</v>
      </c>
      <c r="F74" s="294"/>
      <c r="G74" s="294">
        <f>SUM(G17:G73)</f>
        <v>26056453.94159041</v>
      </c>
      <c r="H74" s="294">
        <f>SUM(H17:H73)</f>
        <v>26056453.94159041</v>
      </c>
      <c r="I74" s="294">
        <f>SUM(I17:I73)</f>
        <v>0</v>
      </c>
      <c r="J74" s="294"/>
      <c r="K74" s="294"/>
      <c r="L74" s="294"/>
      <c r="M74" s="294"/>
      <c r="N74" s="294"/>
      <c r="O74" s="278"/>
      <c r="P74" s="278"/>
    </row>
    <row r="75" spans="2:16">
      <c r="D75" s="292"/>
      <c r="E75" s="243"/>
      <c r="F75" s="243"/>
      <c r="G75" s="243"/>
      <c r="H75" s="325"/>
      <c r="I75" s="325"/>
      <c r="J75" s="294"/>
      <c r="K75" s="325"/>
      <c r="L75" s="325"/>
      <c r="M75" s="325"/>
      <c r="N75" s="325"/>
      <c r="O75" s="243"/>
      <c r="P75" s="243"/>
    </row>
    <row r="76" spans="2:16">
      <c r="C76" s="532" t="s">
        <v>95</v>
      </c>
      <c r="D76" s="292"/>
      <c r="E76" s="243"/>
      <c r="F76" s="243"/>
      <c r="G76" s="243"/>
      <c r="H76" s="325"/>
      <c r="I76" s="325"/>
      <c r="J76" s="294"/>
      <c r="K76" s="325"/>
      <c r="L76" s="325"/>
      <c r="M76" s="325"/>
      <c r="N76" s="325"/>
      <c r="O76" s="243"/>
      <c r="P76" s="243"/>
    </row>
    <row r="77" spans="2:16">
      <c r="C77" s="454" t="s">
        <v>76</v>
      </c>
      <c r="D77" s="292"/>
      <c r="E77" s="243"/>
      <c r="F77" s="243"/>
      <c r="G77" s="243"/>
      <c r="H77" s="325"/>
      <c r="I77" s="325"/>
      <c r="J77" s="294"/>
      <c r="K77" s="325"/>
      <c r="L77" s="325"/>
      <c r="M77" s="325"/>
      <c r="N77" s="325"/>
      <c r="O77" s="278"/>
      <c r="P77" s="278"/>
    </row>
    <row r="78" spans="2:16">
      <c r="C78" s="454" t="s">
        <v>77</v>
      </c>
      <c r="D78" s="349"/>
      <c r="E78" s="349"/>
      <c r="F78" s="349"/>
      <c r="G78" s="294"/>
      <c r="H78" s="294"/>
      <c r="I78" s="350"/>
      <c r="J78" s="350"/>
      <c r="K78" s="350"/>
      <c r="L78" s="350"/>
      <c r="M78" s="350"/>
      <c r="N78" s="350"/>
      <c r="O78" s="278"/>
      <c r="P78" s="278"/>
    </row>
    <row r="79" spans="2:16">
      <c r="C79" s="454"/>
      <c r="D79" s="349"/>
      <c r="E79" s="349"/>
      <c r="F79" s="349"/>
      <c r="G79" s="294"/>
      <c r="H79" s="294"/>
      <c r="I79" s="350"/>
      <c r="J79" s="350"/>
      <c r="K79" s="350"/>
      <c r="L79" s="350"/>
      <c r="M79" s="350"/>
      <c r="N79" s="350"/>
      <c r="O79" s="278"/>
      <c r="P79" s="243"/>
    </row>
    <row r="80" spans="2:16">
      <c r="B80" s="243"/>
      <c r="C80" s="248"/>
      <c r="D80" s="292"/>
      <c r="E80" s="243"/>
      <c r="F80" s="347"/>
      <c r="G80" s="243"/>
      <c r="H80" s="325"/>
      <c r="I80" s="243"/>
      <c r="J80" s="278"/>
      <c r="K80" s="243"/>
      <c r="L80" s="243"/>
      <c r="M80" s="243"/>
      <c r="N80" s="243"/>
      <c r="O80" s="243"/>
      <c r="P80" s="243"/>
    </row>
    <row r="81" spans="1:16" ht="18">
      <c r="B81" s="243"/>
      <c r="C81" s="535"/>
      <c r="D81" s="292"/>
      <c r="E81" s="243"/>
      <c r="F81" s="347"/>
      <c r="G81" s="243"/>
      <c r="H81" s="325"/>
      <c r="I81" s="243"/>
      <c r="J81" s="278"/>
      <c r="K81" s="243"/>
      <c r="L81" s="243"/>
      <c r="M81" s="243"/>
      <c r="N81" s="243"/>
      <c r="P81" s="536" t="s">
        <v>128</v>
      </c>
    </row>
    <row r="82" spans="1:16">
      <c r="B82" s="243"/>
      <c r="C82" s="248"/>
      <c r="D82" s="292"/>
      <c r="E82" s="243"/>
      <c r="F82" s="347"/>
      <c r="G82" s="243"/>
      <c r="H82" s="325"/>
      <c r="I82" s="243"/>
      <c r="J82" s="278"/>
      <c r="K82" s="243"/>
      <c r="L82" s="243"/>
      <c r="M82" s="243"/>
      <c r="N82" s="243"/>
      <c r="O82" s="243"/>
      <c r="P82" s="243"/>
    </row>
    <row r="83" spans="1:16">
      <c r="B83" s="243"/>
      <c r="C83" s="248"/>
      <c r="D83" s="292"/>
      <c r="E83" s="243"/>
      <c r="F83" s="347"/>
      <c r="G83" s="243"/>
      <c r="H83" s="325"/>
      <c r="I83" s="243"/>
      <c r="J83" s="278"/>
      <c r="K83" s="243"/>
      <c r="L83" s="243"/>
      <c r="M83" s="243"/>
      <c r="N83" s="243"/>
      <c r="O83" s="243"/>
      <c r="P83" s="243"/>
    </row>
    <row r="84" spans="1:16" ht="20.25">
      <c r="A84" s="437" t="s">
        <v>190</v>
      </c>
      <c r="B84" s="243"/>
      <c r="C84" s="248"/>
      <c r="D84" s="292"/>
      <c r="E84" s="243"/>
      <c r="F84" s="339"/>
      <c r="G84" s="339"/>
      <c r="H84" s="243"/>
      <c r="I84" s="325"/>
      <c r="K84" s="220"/>
      <c r="L84" s="438"/>
      <c r="M84" s="438"/>
      <c r="P84" s="438" t="str">
        <f ca="1">P1</f>
        <v>OKT Project 19 of 23</v>
      </c>
    </row>
    <row r="85" spans="1:16" ht="18">
      <c r="B85" s="243"/>
      <c r="C85" s="243"/>
      <c r="D85" s="292"/>
      <c r="E85" s="243"/>
      <c r="F85" s="243"/>
      <c r="G85" s="243"/>
      <c r="H85" s="243"/>
      <c r="I85" s="325"/>
      <c r="J85" s="243"/>
      <c r="K85" s="278"/>
      <c r="L85" s="243"/>
      <c r="M85" s="243"/>
      <c r="P85" s="441" t="s">
        <v>132</v>
      </c>
    </row>
    <row r="86" spans="1:16" ht="18.75" thickBot="1">
      <c r="B86" s="233" t="s">
        <v>42</v>
      </c>
      <c r="C86" s="537" t="s">
        <v>81</v>
      </c>
      <c r="D86" s="292"/>
      <c r="E86" s="243"/>
      <c r="F86" s="243"/>
      <c r="G86" s="243"/>
      <c r="H86" s="243"/>
      <c r="I86" s="325"/>
      <c r="J86" s="325"/>
      <c r="K86" s="294"/>
      <c r="L86" s="325"/>
      <c r="M86" s="325"/>
      <c r="N86" s="325"/>
      <c r="O86" s="294"/>
      <c r="P86" s="243"/>
    </row>
    <row r="87" spans="1:16" ht="15.75" thickBot="1">
      <c r="C87" s="304"/>
      <c r="D87" s="292"/>
      <c r="E87" s="243"/>
      <c r="F87" s="243"/>
      <c r="G87" s="243"/>
      <c r="H87" s="243"/>
      <c r="I87" s="325"/>
      <c r="J87" s="325"/>
      <c r="K87" s="294"/>
      <c r="L87" s="538">
        <f>+J93</f>
        <v>2020</v>
      </c>
      <c r="M87" s="539" t="s">
        <v>9</v>
      </c>
      <c r="N87" s="540" t="s">
        <v>134</v>
      </c>
      <c r="O87" s="541" t="s">
        <v>11</v>
      </c>
      <c r="P87" s="243"/>
    </row>
    <row r="88" spans="1:16" ht="15">
      <c r="C88" s="232" t="s">
        <v>44</v>
      </c>
      <c r="D88" s="292"/>
      <c r="E88" s="243"/>
      <c r="F88" s="243"/>
      <c r="G88" s="243"/>
      <c r="H88" s="444"/>
      <c r="I88" s="243" t="s">
        <v>45</v>
      </c>
      <c r="J88" s="243"/>
      <c r="K88" s="542"/>
      <c r="L88" s="543" t="s">
        <v>253</v>
      </c>
      <c r="M88" s="544">
        <f>IF(J93&lt;D11,0,VLOOKUP(J93,C17:O73,9))</f>
        <v>1127928.3671828741</v>
      </c>
      <c r="N88" s="544">
        <f>IF(J93&lt;D11,0,VLOOKUP(J93,C17:O73,11))</f>
        <v>1127928.3671828741</v>
      </c>
      <c r="O88" s="545">
        <f>+N88-M88</f>
        <v>0</v>
      </c>
      <c r="P88" s="243"/>
    </row>
    <row r="89" spans="1:16" ht="15.75">
      <c r="C89" s="235"/>
      <c r="D89" s="292"/>
      <c r="E89" s="243"/>
      <c r="F89" s="243"/>
      <c r="G89" s="243"/>
      <c r="H89" s="243"/>
      <c r="I89" s="449"/>
      <c r="J89" s="449"/>
      <c r="K89" s="546"/>
      <c r="L89" s="547" t="s">
        <v>254</v>
      </c>
      <c r="M89" s="548">
        <f>IF(J93&lt;D11,0,VLOOKUP(J93,C100:P155,6))</f>
        <v>1209669.2196039241</v>
      </c>
      <c r="N89" s="548">
        <f>IF(J93&lt;D11,0,VLOOKUP(J93,C100:P155,7))</f>
        <v>1209669.2196039241</v>
      </c>
      <c r="O89" s="549">
        <f>+N89-M89</f>
        <v>0</v>
      </c>
      <c r="P89" s="243"/>
    </row>
    <row r="90" spans="1:16" ht="13.5" thickBot="1">
      <c r="C90" s="454" t="s">
        <v>82</v>
      </c>
      <c r="D90" s="550" t="str">
        <f>+D7</f>
        <v>Duncan-Comanche Tap 69 KV Rebuild</v>
      </c>
      <c r="E90" s="243"/>
      <c r="F90" s="243"/>
      <c r="G90" s="243"/>
      <c r="H90" s="243"/>
      <c r="I90" s="325"/>
      <c r="J90" s="325"/>
      <c r="K90" s="551"/>
      <c r="L90" s="552" t="s">
        <v>135</v>
      </c>
      <c r="M90" s="553">
        <f>+M89-M88</f>
        <v>81740.85242104996</v>
      </c>
      <c r="N90" s="553">
        <f>+N89-N88</f>
        <v>81740.85242104996</v>
      </c>
      <c r="O90" s="554">
        <f>+O89-O88</f>
        <v>0</v>
      </c>
      <c r="P90" s="243"/>
    </row>
    <row r="91" spans="1:16" ht="13.5" thickBot="1">
      <c r="C91" s="532"/>
      <c r="D91" s="555" t="str">
        <f>IF(D8="","",D8)</f>
        <v/>
      </c>
      <c r="E91" s="347"/>
      <c r="F91" s="347"/>
      <c r="G91" s="347"/>
      <c r="H91" s="461"/>
      <c r="I91" s="325"/>
      <c r="J91" s="325"/>
      <c r="K91" s="294"/>
      <c r="L91" s="325"/>
      <c r="M91" s="325"/>
      <c r="N91" s="325"/>
      <c r="O91" s="294"/>
      <c r="P91" s="243"/>
    </row>
    <row r="92" spans="1:16" ht="13.5" thickBot="1">
      <c r="A92" s="152"/>
      <c r="C92" s="556" t="s">
        <v>83</v>
      </c>
      <c r="D92" s="557" t="str">
        <f>+D9</f>
        <v>TP 2015191</v>
      </c>
      <c r="E92" s="558"/>
      <c r="F92" s="558"/>
      <c r="G92" s="558"/>
      <c r="H92" s="558"/>
      <c r="I92" s="558"/>
      <c r="J92" s="558"/>
      <c r="K92" s="560"/>
      <c r="P92" s="468"/>
    </row>
    <row r="93" spans="1:16">
      <c r="C93" s="472" t="s">
        <v>49</v>
      </c>
      <c r="D93" s="474">
        <v>8934664</v>
      </c>
      <c r="E93" s="248" t="s">
        <v>84</v>
      </c>
      <c r="H93" s="408"/>
      <c r="I93" s="408"/>
      <c r="J93" s="471">
        <f>+'OKT.WS.G.BPU.ATRR.True-up'!M16</f>
        <v>2020</v>
      </c>
      <c r="K93" s="467"/>
      <c r="L93" s="294" t="s">
        <v>85</v>
      </c>
      <c r="P93" s="278"/>
    </row>
    <row r="94" spans="1:16">
      <c r="C94" s="472" t="s">
        <v>52</v>
      </c>
      <c r="D94" s="561">
        <f>IF(D11="","",D11)</f>
        <v>2018</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row>
    <row r="95" spans="1:16">
      <c r="C95" s="472" t="s">
        <v>54</v>
      </c>
      <c r="D95" s="561">
        <f>IF(D12="","",D12)</f>
        <v>5</v>
      </c>
      <c r="E95" s="472" t="s">
        <v>55</v>
      </c>
      <c r="F95" s="408"/>
      <c r="G95" s="408"/>
      <c r="J95" s="476">
        <f>'OKT.WS.G.BPU.ATRR.True-up'!$F$81</f>
        <v>0.11475877389767174</v>
      </c>
      <c r="K95" s="413"/>
      <c r="L95" s="145" t="s">
        <v>86</v>
      </c>
      <c r="P95" s="278"/>
    </row>
    <row r="96" spans="1:16">
      <c r="C96" s="472" t="s">
        <v>57</v>
      </c>
      <c r="D96" s="474">
        <f>'OKT.WS.G.BPU.ATRR.True-up'!F$93</f>
        <v>21</v>
      </c>
      <c r="E96" s="472" t="s">
        <v>58</v>
      </c>
      <c r="F96" s="408"/>
      <c r="G96" s="408"/>
      <c r="J96" s="476">
        <f>IF(H88="",J95,'OKT.WS.G.BPU.ATRR.True-up'!$F$80)</f>
        <v>0.11475877389767174</v>
      </c>
      <c r="K96" s="291"/>
      <c r="L96" s="294" t="s">
        <v>59</v>
      </c>
      <c r="M96" s="291"/>
      <c r="N96" s="291"/>
      <c r="O96" s="291"/>
      <c r="P96" s="278"/>
    </row>
    <row r="97" spans="1:16" ht="13.5" thickBot="1">
      <c r="C97" s="472" t="s">
        <v>60</v>
      </c>
      <c r="D97" s="562" t="str">
        <f>+D14</f>
        <v>No</v>
      </c>
      <c r="E97" s="563" t="s">
        <v>62</v>
      </c>
      <c r="F97" s="564"/>
      <c r="G97" s="564"/>
      <c r="H97" s="565"/>
      <c r="I97" s="565"/>
      <c r="J97" s="458">
        <f>IF(D93=0,0,D93/D96)</f>
        <v>425460.19047619047</v>
      </c>
      <c r="K97" s="294"/>
      <c r="L97" s="294"/>
      <c r="M97" s="294"/>
      <c r="N97" s="294"/>
      <c r="O97" s="294"/>
      <c r="P97" s="278"/>
    </row>
    <row r="98" spans="1:16" ht="38.25">
      <c r="A98" s="381"/>
      <c r="B98" s="381"/>
      <c r="C98" s="566" t="s">
        <v>49</v>
      </c>
      <c r="D98" s="567" t="s">
        <v>193</v>
      </c>
      <c r="E98" s="485" t="s">
        <v>63</v>
      </c>
      <c r="F98" s="485" t="s">
        <v>64</v>
      </c>
      <c r="G98" s="480" t="s">
        <v>87</v>
      </c>
      <c r="H98" s="481" t="s">
        <v>251</v>
      </c>
      <c r="I98" s="482" t="s">
        <v>252</v>
      </c>
      <c r="J98" s="566" t="s">
        <v>88</v>
      </c>
      <c r="K98" s="568"/>
      <c r="L98" s="485" t="s">
        <v>91</v>
      </c>
      <c r="M98" s="485" t="s">
        <v>89</v>
      </c>
      <c r="N98" s="485" t="s">
        <v>91</v>
      </c>
      <c r="O98" s="485" t="s">
        <v>89</v>
      </c>
      <c r="P98" s="485" t="s">
        <v>67</v>
      </c>
    </row>
    <row r="99" spans="1:16" ht="13.5" thickBot="1">
      <c r="C99" s="486" t="s">
        <v>68</v>
      </c>
      <c r="D99" s="569" t="s">
        <v>69</v>
      </c>
      <c r="E99" s="486" t="s">
        <v>70</v>
      </c>
      <c r="F99" s="486" t="s">
        <v>69</v>
      </c>
      <c r="G99" s="486" t="s">
        <v>69</v>
      </c>
      <c r="H99" s="493" t="s">
        <v>71</v>
      </c>
      <c r="I99" s="489" t="s">
        <v>72</v>
      </c>
      <c r="J99" s="490" t="s">
        <v>93</v>
      </c>
      <c r="K99" s="491"/>
      <c r="L99" s="492" t="s">
        <v>74</v>
      </c>
      <c r="M99" s="492" t="s">
        <v>74</v>
      </c>
      <c r="N99" s="492" t="s">
        <v>94</v>
      </c>
      <c r="O99" s="492" t="s">
        <v>94</v>
      </c>
      <c r="P99" s="492" t="s">
        <v>94</v>
      </c>
    </row>
    <row r="100" spans="1:16">
      <c r="B100" s="145" t="str">
        <f t="shared" ref="B100:B155" si="14">IF(D100=F99,"","IU")</f>
        <v>IU</v>
      </c>
      <c r="C100" s="495">
        <f>IF(D94= "","-",D94)</f>
        <v>2018</v>
      </c>
      <c r="D100" s="496">
        <f>IF(D94=C100,0,IF(D93&lt;100000,0,D93))</f>
        <v>0</v>
      </c>
      <c r="E100" s="498">
        <f>IF(D93&lt;100000,0,J$97/12*(12-D95))</f>
        <v>248185.11111111112</v>
      </c>
      <c r="F100" s="505">
        <f>IF(D94=C100,+D93-E100,+D100-E100)</f>
        <v>8686478.8888888881</v>
      </c>
      <c r="G100" s="505">
        <f>+(F100+D100)/2</f>
        <v>4343239.444444444</v>
      </c>
      <c r="H100" s="498">
        <f t="shared" ref="H100:H155" si="15">+J$95*G100+E100</f>
        <v>746609.9444995604</v>
      </c>
      <c r="I100" s="499">
        <f>+J$96*G100+E100</f>
        <v>746609.9444995604</v>
      </c>
      <c r="J100" s="504">
        <f t="shared" ref="J100:J131" si="16">+I100-H100</f>
        <v>0</v>
      </c>
      <c r="K100" s="504"/>
      <c r="L100" s="506">
        <f>+H100</f>
        <v>746609.9444995604</v>
      </c>
      <c r="M100" s="504">
        <f t="shared" ref="M100" si="17">IF(L100&lt;&gt;0,+H100-L100,0)</f>
        <v>0</v>
      </c>
      <c r="N100" s="506">
        <f>+I100</f>
        <v>746609.9444995604</v>
      </c>
      <c r="O100" s="586">
        <f t="shared" ref="O100:O101" si="18">IF(N100&lt;&gt;0,+I100-N100,0)</f>
        <v>0</v>
      </c>
      <c r="P100" s="504">
        <f t="shared" ref="P100" si="19">+O100-M100</f>
        <v>0</v>
      </c>
    </row>
    <row r="101" spans="1:16">
      <c r="B101" s="145" t="str">
        <f t="shared" si="14"/>
        <v>IU</v>
      </c>
      <c r="C101" s="495">
        <f>IF(D94="","-",+C100+1)</f>
        <v>2019</v>
      </c>
      <c r="D101" s="496">
        <v>8934664</v>
      </c>
      <c r="E101" s="498">
        <v>248185.11111111112</v>
      </c>
      <c r="F101" s="505">
        <v>8686478.8888888881</v>
      </c>
      <c r="G101" s="505">
        <v>8810571.444444444</v>
      </c>
      <c r="H101" s="498">
        <v>1178250.6107491101</v>
      </c>
      <c r="I101" s="499">
        <v>1178250.6107491101</v>
      </c>
      <c r="J101" s="504">
        <f t="shared" si="16"/>
        <v>0</v>
      </c>
      <c r="K101" s="504"/>
      <c r="L101" s="506">
        <f>H101</f>
        <v>1178250.6107491101</v>
      </c>
      <c r="M101" s="504">
        <f>IF(L101&lt;&gt;0,+H101-L101,0)</f>
        <v>0</v>
      </c>
      <c r="N101" s="506">
        <f>I101</f>
        <v>1178250.6107491101</v>
      </c>
      <c r="O101" s="504">
        <f t="shared" si="18"/>
        <v>0</v>
      </c>
      <c r="P101" s="504">
        <f>+O101-M101</f>
        <v>0</v>
      </c>
    </row>
    <row r="102" spans="1:16">
      <c r="B102" s="145" t="str">
        <f t="shared" si="14"/>
        <v>IU</v>
      </c>
      <c r="C102" s="495">
        <f>IF(D94="","-",+C101+1)</f>
        <v>2020</v>
      </c>
      <c r="D102" s="496">
        <v>8528542.9090909082</v>
      </c>
      <c r="E102" s="498">
        <v>319095.14285714284</v>
      </c>
      <c r="F102" s="505">
        <v>8209447.7662337655</v>
      </c>
      <c r="G102" s="505">
        <v>8368995.3376623373</v>
      </c>
      <c r="H102" s="498">
        <v>1209669.2196039241</v>
      </c>
      <c r="I102" s="499">
        <v>1209669.2196039241</v>
      </c>
      <c r="J102" s="504">
        <f t="shared" si="16"/>
        <v>0</v>
      </c>
      <c r="K102" s="504"/>
      <c r="L102" s="506">
        <f>H102</f>
        <v>1209669.2196039241</v>
      </c>
      <c r="M102" s="504">
        <f>IF(L102&lt;&gt;0,+H102-L102,0)</f>
        <v>0</v>
      </c>
      <c r="N102" s="506">
        <f>I102</f>
        <v>1209669.2196039241</v>
      </c>
      <c r="O102" s="504">
        <f t="shared" ref="O102" si="20">IF(N102&lt;&gt;0,+I102-N102,0)</f>
        <v>0</v>
      </c>
      <c r="P102" s="504">
        <f>+O102-M102</f>
        <v>0</v>
      </c>
    </row>
    <row r="103" spans="1:16">
      <c r="B103" s="145" t="str">
        <f t="shared" si="14"/>
        <v>IU</v>
      </c>
      <c r="C103" s="495">
        <f>IF(D94="","-",+C102+1)</f>
        <v>2021</v>
      </c>
      <c r="D103" s="349">
        <f>IF(F102+SUM(E$100:E102)=D$93,F102,D$93-SUM(E$100:E102))</f>
        <v>8119198.6349206353</v>
      </c>
      <c r="E103" s="509">
        <f t="shared" ref="E103:E155" si="21">IF(+J$97&lt;F102,J$97,D103)</f>
        <v>425460.19047619047</v>
      </c>
      <c r="F103" s="510">
        <f t="shared" ref="F103:F155" si="22">+D103-E103</f>
        <v>7693738.444444445</v>
      </c>
      <c r="G103" s="510">
        <f t="shared" ref="G103:G155" si="23">+(F103+D103)/2</f>
        <v>7906468.5396825401</v>
      </c>
      <c r="H103" s="627">
        <f t="shared" si="15"/>
        <v>1332796.825950674</v>
      </c>
      <c r="I103" s="628">
        <f t="shared" ref="I103:I155" si="24">+J$96*G103+E103</f>
        <v>1332796.825950674</v>
      </c>
      <c r="J103" s="504">
        <f t="shared" si="16"/>
        <v>0</v>
      </c>
      <c r="K103" s="504"/>
      <c r="L103" s="512"/>
      <c r="M103" s="504">
        <f t="shared" ref="M103:M131" si="25">IF(L103&lt;&gt;0,+H103-L103,0)</f>
        <v>0</v>
      </c>
      <c r="N103" s="512"/>
      <c r="O103" s="504">
        <f t="shared" ref="O103:O131" si="26">IF(N103&lt;&gt;0,+I103-N103,0)</f>
        <v>0</v>
      </c>
      <c r="P103" s="504">
        <f t="shared" ref="P103:P131" si="27">+O103-M103</f>
        <v>0</v>
      </c>
    </row>
    <row r="104" spans="1:16">
      <c r="B104" s="145" t="str">
        <f t="shared" si="14"/>
        <v/>
      </c>
      <c r="C104" s="495">
        <f>IF(D94="","-",+C103+1)</f>
        <v>2022</v>
      </c>
      <c r="D104" s="349">
        <f>IF(F103+SUM(E$100:E103)=D$93,F103,D$93-SUM(E$100:E103))</f>
        <v>7693738.444444445</v>
      </c>
      <c r="E104" s="509">
        <f t="shared" si="21"/>
        <v>425460.19047619047</v>
      </c>
      <c r="F104" s="510">
        <f t="shared" si="22"/>
        <v>7268278.2539682547</v>
      </c>
      <c r="G104" s="510">
        <f t="shared" si="23"/>
        <v>7481008.3492063498</v>
      </c>
      <c r="H104" s="627">
        <f t="shared" si="15"/>
        <v>1283971.5361493565</v>
      </c>
      <c r="I104" s="628">
        <f t="shared" si="24"/>
        <v>1283971.5361493565</v>
      </c>
      <c r="J104" s="504">
        <f t="shared" si="16"/>
        <v>0</v>
      </c>
      <c r="K104" s="504"/>
      <c r="L104" s="512"/>
      <c r="M104" s="504">
        <f t="shared" si="25"/>
        <v>0</v>
      </c>
      <c r="N104" s="512"/>
      <c r="O104" s="504">
        <f t="shared" si="26"/>
        <v>0</v>
      </c>
      <c r="P104" s="504">
        <f t="shared" si="27"/>
        <v>0</v>
      </c>
    </row>
    <row r="105" spans="1:16">
      <c r="B105" s="145" t="str">
        <f t="shared" si="14"/>
        <v/>
      </c>
      <c r="C105" s="495">
        <f>IF(D94="","-",+C104+1)</f>
        <v>2023</v>
      </c>
      <c r="D105" s="349">
        <f>IF(F104+SUM(E$100:E104)=D$93,F104,D$93-SUM(E$100:E104))</f>
        <v>7268278.2539682547</v>
      </c>
      <c r="E105" s="509">
        <f t="shared" si="21"/>
        <v>425460.19047619047</v>
      </c>
      <c r="F105" s="510">
        <f t="shared" si="22"/>
        <v>6842818.0634920644</v>
      </c>
      <c r="G105" s="510">
        <f t="shared" si="23"/>
        <v>7055548.1587301595</v>
      </c>
      <c r="H105" s="627">
        <f t="shared" si="15"/>
        <v>1235146.246348039</v>
      </c>
      <c r="I105" s="628">
        <f t="shared" si="24"/>
        <v>1235146.246348039</v>
      </c>
      <c r="J105" s="504">
        <f t="shared" si="16"/>
        <v>0</v>
      </c>
      <c r="K105" s="504"/>
      <c r="L105" s="512"/>
      <c r="M105" s="504">
        <f t="shared" si="25"/>
        <v>0</v>
      </c>
      <c r="N105" s="512"/>
      <c r="O105" s="504">
        <f t="shared" si="26"/>
        <v>0</v>
      </c>
      <c r="P105" s="504">
        <f t="shared" si="27"/>
        <v>0</v>
      </c>
    </row>
    <row r="106" spans="1:16">
      <c r="B106" s="145" t="str">
        <f t="shared" si="14"/>
        <v/>
      </c>
      <c r="C106" s="495">
        <f>IF(D94="","-",+C105+1)</f>
        <v>2024</v>
      </c>
      <c r="D106" s="349">
        <f>IF(F105+SUM(E$100:E105)=D$93,F105,D$93-SUM(E$100:E105))</f>
        <v>6842818.0634920644</v>
      </c>
      <c r="E106" s="509">
        <f t="shared" si="21"/>
        <v>425460.19047619047</v>
      </c>
      <c r="F106" s="510">
        <f t="shared" si="22"/>
        <v>6417357.8730158741</v>
      </c>
      <c r="G106" s="510">
        <f t="shared" si="23"/>
        <v>6630087.9682539692</v>
      </c>
      <c r="H106" s="627">
        <f t="shared" si="15"/>
        <v>1186320.9565467215</v>
      </c>
      <c r="I106" s="628">
        <f t="shared" si="24"/>
        <v>1186320.9565467215</v>
      </c>
      <c r="J106" s="504">
        <f t="shared" si="16"/>
        <v>0</v>
      </c>
      <c r="K106" s="504"/>
      <c r="L106" s="512"/>
      <c r="M106" s="504">
        <f t="shared" si="25"/>
        <v>0</v>
      </c>
      <c r="N106" s="512"/>
      <c r="O106" s="504">
        <f t="shared" si="26"/>
        <v>0</v>
      </c>
      <c r="P106" s="504">
        <f t="shared" si="27"/>
        <v>0</v>
      </c>
    </row>
    <row r="107" spans="1:16">
      <c r="B107" s="145" t="str">
        <f t="shared" si="14"/>
        <v/>
      </c>
      <c r="C107" s="495">
        <f>IF(D94="","-",+C106+1)</f>
        <v>2025</v>
      </c>
      <c r="D107" s="349">
        <f>IF(F106+SUM(E$100:E106)=D$93,F106,D$93-SUM(E$100:E106))</f>
        <v>6417357.8730158741</v>
      </c>
      <c r="E107" s="509">
        <f t="shared" si="21"/>
        <v>425460.19047619047</v>
      </c>
      <c r="F107" s="510">
        <f t="shared" si="22"/>
        <v>5991897.6825396838</v>
      </c>
      <c r="G107" s="510">
        <f t="shared" si="23"/>
        <v>6204627.7777777789</v>
      </c>
      <c r="H107" s="627">
        <f t="shared" si="15"/>
        <v>1137495.666745404</v>
      </c>
      <c r="I107" s="628">
        <f t="shared" si="24"/>
        <v>1137495.666745404</v>
      </c>
      <c r="J107" s="504">
        <f t="shared" si="16"/>
        <v>0</v>
      </c>
      <c r="K107" s="504"/>
      <c r="L107" s="512"/>
      <c r="M107" s="504">
        <f t="shared" si="25"/>
        <v>0</v>
      </c>
      <c r="N107" s="512"/>
      <c r="O107" s="504">
        <f t="shared" si="26"/>
        <v>0</v>
      </c>
      <c r="P107" s="504">
        <f t="shared" si="27"/>
        <v>0</v>
      </c>
    </row>
    <row r="108" spans="1:16">
      <c r="B108" s="145" t="str">
        <f t="shared" si="14"/>
        <v/>
      </c>
      <c r="C108" s="495">
        <f>IF(D94="","-",+C107+1)</f>
        <v>2026</v>
      </c>
      <c r="D108" s="349">
        <f>IF(F107+SUM(E$100:E107)=D$93,F107,D$93-SUM(E$100:E107))</f>
        <v>5991897.6825396838</v>
      </c>
      <c r="E108" s="509">
        <f t="shared" si="21"/>
        <v>425460.19047619047</v>
      </c>
      <c r="F108" s="510">
        <f t="shared" si="22"/>
        <v>5566437.4920634935</v>
      </c>
      <c r="G108" s="510">
        <f t="shared" si="23"/>
        <v>5779167.5873015886</v>
      </c>
      <c r="H108" s="627">
        <f t="shared" si="15"/>
        <v>1088670.3769440865</v>
      </c>
      <c r="I108" s="628">
        <f t="shared" si="24"/>
        <v>1088670.3769440865</v>
      </c>
      <c r="J108" s="504">
        <f t="shared" si="16"/>
        <v>0</v>
      </c>
      <c r="K108" s="504"/>
      <c r="L108" s="512"/>
      <c r="M108" s="504">
        <f t="shared" si="25"/>
        <v>0</v>
      </c>
      <c r="N108" s="512"/>
      <c r="O108" s="504">
        <f t="shared" si="26"/>
        <v>0</v>
      </c>
      <c r="P108" s="504">
        <f t="shared" si="27"/>
        <v>0</v>
      </c>
    </row>
    <row r="109" spans="1:16">
      <c r="B109" s="145" t="str">
        <f t="shared" si="14"/>
        <v/>
      </c>
      <c r="C109" s="495">
        <f>IF(D94="","-",+C108+1)</f>
        <v>2027</v>
      </c>
      <c r="D109" s="349">
        <f>IF(F108+SUM(E$100:E108)=D$93,F108,D$93-SUM(E$100:E108))</f>
        <v>5566437.4920634935</v>
      </c>
      <c r="E109" s="509">
        <f t="shared" si="21"/>
        <v>425460.19047619047</v>
      </c>
      <c r="F109" s="510">
        <f t="shared" si="22"/>
        <v>5140977.3015873032</v>
      </c>
      <c r="G109" s="510">
        <f t="shared" si="23"/>
        <v>5353707.3968253983</v>
      </c>
      <c r="H109" s="627">
        <f t="shared" si="15"/>
        <v>1039845.087142769</v>
      </c>
      <c r="I109" s="628">
        <f t="shared" si="24"/>
        <v>1039845.087142769</v>
      </c>
      <c r="J109" s="504">
        <f t="shared" si="16"/>
        <v>0</v>
      </c>
      <c r="K109" s="504"/>
      <c r="L109" s="512"/>
      <c r="M109" s="504">
        <f t="shared" si="25"/>
        <v>0</v>
      </c>
      <c r="N109" s="512"/>
      <c r="O109" s="504">
        <f t="shared" si="26"/>
        <v>0</v>
      </c>
      <c r="P109" s="504">
        <f t="shared" si="27"/>
        <v>0</v>
      </c>
    </row>
    <row r="110" spans="1:16">
      <c r="B110" s="145" t="str">
        <f t="shared" si="14"/>
        <v/>
      </c>
      <c r="C110" s="495">
        <f>IF(D94="","-",+C109+1)</f>
        <v>2028</v>
      </c>
      <c r="D110" s="349">
        <f>IF(F109+SUM(E$100:E109)=D$93,F109,D$93-SUM(E$100:E109))</f>
        <v>5140977.3015873032</v>
      </c>
      <c r="E110" s="509">
        <f t="shared" si="21"/>
        <v>425460.19047619047</v>
      </c>
      <c r="F110" s="510">
        <f t="shared" si="22"/>
        <v>4715517.1111111129</v>
      </c>
      <c r="G110" s="510">
        <f t="shared" si="23"/>
        <v>4928247.206349208</v>
      </c>
      <c r="H110" s="627">
        <f t="shared" si="15"/>
        <v>991019.79734145151</v>
      </c>
      <c r="I110" s="628">
        <f t="shared" si="24"/>
        <v>991019.79734145151</v>
      </c>
      <c r="J110" s="504">
        <f t="shared" si="16"/>
        <v>0</v>
      </c>
      <c r="K110" s="504"/>
      <c r="L110" s="512"/>
      <c r="M110" s="504">
        <f t="shared" si="25"/>
        <v>0</v>
      </c>
      <c r="N110" s="512"/>
      <c r="O110" s="504">
        <f t="shared" si="26"/>
        <v>0</v>
      </c>
      <c r="P110" s="504">
        <f t="shared" si="27"/>
        <v>0</v>
      </c>
    </row>
    <row r="111" spans="1:16">
      <c r="B111" s="145" t="str">
        <f t="shared" si="14"/>
        <v/>
      </c>
      <c r="C111" s="495">
        <f>IF(D94="","-",+C110+1)</f>
        <v>2029</v>
      </c>
      <c r="D111" s="349">
        <f>IF(F110+SUM(E$100:E110)=D$93,F110,D$93-SUM(E$100:E110))</f>
        <v>4715517.1111111129</v>
      </c>
      <c r="E111" s="509">
        <f t="shared" si="21"/>
        <v>425460.19047619047</v>
      </c>
      <c r="F111" s="510">
        <f t="shared" si="22"/>
        <v>4290056.9206349226</v>
      </c>
      <c r="G111" s="510">
        <f t="shared" si="23"/>
        <v>4502787.0158730177</v>
      </c>
      <c r="H111" s="627">
        <f t="shared" si="15"/>
        <v>942194.50754013413</v>
      </c>
      <c r="I111" s="628">
        <f t="shared" si="24"/>
        <v>942194.50754013413</v>
      </c>
      <c r="J111" s="504">
        <f t="shared" si="16"/>
        <v>0</v>
      </c>
      <c r="K111" s="504"/>
      <c r="L111" s="512"/>
      <c r="M111" s="504">
        <f t="shared" si="25"/>
        <v>0</v>
      </c>
      <c r="N111" s="512"/>
      <c r="O111" s="504">
        <f t="shared" si="26"/>
        <v>0</v>
      </c>
      <c r="P111" s="504">
        <f t="shared" si="27"/>
        <v>0</v>
      </c>
    </row>
    <row r="112" spans="1:16">
      <c r="B112" s="145" t="str">
        <f t="shared" si="14"/>
        <v/>
      </c>
      <c r="C112" s="495">
        <f>IF(D94="","-",+C111+1)</f>
        <v>2030</v>
      </c>
      <c r="D112" s="349">
        <f>IF(F111+SUM(E$100:E111)=D$93,F111,D$93-SUM(E$100:E111))</f>
        <v>4290056.9206349226</v>
      </c>
      <c r="E112" s="509">
        <f t="shared" si="21"/>
        <v>425460.19047619047</v>
      </c>
      <c r="F112" s="510">
        <f t="shared" si="22"/>
        <v>3864596.7301587323</v>
      </c>
      <c r="G112" s="510">
        <f t="shared" si="23"/>
        <v>4077326.8253968274</v>
      </c>
      <c r="H112" s="627">
        <f t="shared" si="15"/>
        <v>893369.21773881675</v>
      </c>
      <c r="I112" s="628">
        <f t="shared" si="24"/>
        <v>893369.21773881675</v>
      </c>
      <c r="J112" s="504">
        <f t="shared" si="16"/>
        <v>0</v>
      </c>
      <c r="K112" s="504"/>
      <c r="L112" s="512"/>
      <c r="M112" s="504">
        <f t="shared" si="25"/>
        <v>0</v>
      </c>
      <c r="N112" s="512"/>
      <c r="O112" s="504">
        <f t="shared" si="26"/>
        <v>0</v>
      </c>
      <c r="P112" s="504">
        <f t="shared" si="27"/>
        <v>0</v>
      </c>
    </row>
    <row r="113" spans="2:16">
      <c r="B113" s="145" t="str">
        <f t="shared" si="14"/>
        <v/>
      </c>
      <c r="C113" s="495">
        <f>IF(D94="","-",+C112+1)</f>
        <v>2031</v>
      </c>
      <c r="D113" s="349">
        <f>IF(F112+SUM(E$100:E112)=D$93,F112,D$93-SUM(E$100:E112))</f>
        <v>3864596.7301587323</v>
      </c>
      <c r="E113" s="509">
        <f t="shared" si="21"/>
        <v>425460.19047619047</v>
      </c>
      <c r="F113" s="510">
        <f t="shared" si="22"/>
        <v>3439136.539682542</v>
      </c>
      <c r="G113" s="510">
        <f t="shared" si="23"/>
        <v>3651866.6349206371</v>
      </c>
      <c r="H113" s="627">
        <f t="shared" si="15"/>
        <v>844543.92793749925</v>
      </c>
      <c r="I113" s="628">
        <f t="shared" si="24"/>
        <v>844543.92793749925</v>
      </c>
      <c r="J113" s="504">
        <f t="shared" si="16"/>
        <v>0</v>
      </c>
      <c r="K113" s="504"/>
      <c r="L113" s="512"/>
      <c r="M113" s="504">
        <f t="shared" si="25"/>
        <v>0</v>
      </c>
      <c r="N113" s="512"/>
      <c r="O113" s="504">
        <f t="shared" si="26"/>
        <v>0</v>
      </c>
      <c r="P113" s="504">
        <f t="shared" si="27"/>
        <v>0</v>
      </c>
    </row>
    <row r="114" spans="2:16">
      <c r="B114" s="145" t="str">
        <f t="shared" si="14"/>
        <v/>
      </c>
      <c r="C114" s="495">
        <f>IF(D94="","-",+C113+1)</f>
        <v>2032</v>
      </c>
      <c r="D114" s="349">
        <f>IF(F113+SUM(E$100:E113)=D$93,F113,D$93-SUM(E$100:E113))</f>
        <v>3439136.539682542</v>
      </c>
      <c r="E114" s="509">
        <f t="shared" si="21"/>
        <v>425460.19047619047</v>
      </c>
      <c r="F114" s="510">
        <f t="shared" si="22"/>
        <v>3013676.3492063517</v>
      </c>
      <c r="G114" s="510">
        <f t="shared" si="23"/>
        <v>3226406.4444444468</v>
      </c>
      <c r="H114" s="627">
        <f t="shared" si="15"/>
        <v>795718.63813618175</v>
      </c>
      <c r="I114" s="628">
        <f t="shared" si="24"/>
        <v>795718.63813618175</v>
      </c>
      <c r="J114" s="504">
        <f t="shared" si="16"/>
        <v>0</v>
      </c>
      <c r="K114" s="504"/>
      <c r="L114" s="512"/>
      <c r="M114" s="504">
        <f t="shared" si="25"/>
        <v>0</v>
      </c>
      <c r="N114" s="512"/>
      <c r="O114" s="504">
        <f t="shared" si="26"/>
        <v>0</v>
      </c>
      <c r="P114" s="504">
        <f t="shared" si="27"/>
        <v>0</v>
      </c>
    </row>
    <row r="115" spans="2:16">
      <c r="B115" s="145" t="str">
        <f t="shared" si="14"/>
        <v/>
      </c>
      <c r="C115" s="495">
        <f>IF(D94="","-",+C114+1)</f>
        <v>2033</v>
      </c>
      <c r="D115" s="349">
        <f>IF(F114+SUM(E$100:E114)=D$93,F114,D$93-SUM(E$100:E114))</f>
        <v>3013676.3492063517</v>
      </c>
      <c r="E115" s="509">
        <f t="shared" si="21"/>
        <v>425460.19047619047</v>
      </c>
      <c r="F115" s="510">
        <f t="shared" si="22"/>
        <v>2588216.1587301614</v>
      </c>
      <c r="G115" s="510">
        <f t="shared" si="23"/>
        <v>2800946.2539682565</v>
      </c>
      <c r="H115" s="627">
        <f t="shared" si="15"/>
        <v>746893.34833486425</v>
      </c>
      <c r="I115" s="628">
        <f t="shared" si="24"/>
        <v>746893.34833486425</v>
      </c>
      <c r="J115" s="504">
        <f t="shared" si="16"/>
        <v>0</v>
      </c>
      <c r="K115" s="504"/>
      <c r="L115" s="512"/>
      <c r="M115" s="504">
        <f t="shared" si="25"/>
        <v>0</v>
      </c>
      <c r="N115" s="512"/>
      <c r="O115" s="504">
        <f t="shared" si="26"/>
        <v>0</v>
      </c>
      <c r="P115" s="504">
        <f t="shared" si="27"/>
        <v>0</v>
      </c>
    </row>
    <row r="116" spans="2:16">
      <c r="B116" s="145" t="str">
        <f t="shared" si="14"/>
        <v/>
      </c>
      <c r="C116" s="495">
        <f>IF(D94="","-",+C115+1)</f>
        <v>2034</v>
      </c>
      <c r="D116" s="349">
        <f>IF(F115+SUM(E$100:E115)=D$93,F115,D$93-SUM(E$100:E115))</f>
        <v>2588216.1587301614</v>
      </c>
      <c r="E116" s="509">
        <f t="shared" si="21"/>
        <v>425460.19047619047</v>
      </c>
      <c r="F116" s="510">
        <f t="shared" si="22"/>
        <v>2162755.9682539711</v>
      </c>
      <c r="G116" s="510">
        <f t="shared" si="23"/>
        <v>2375486.0634920662</v>
      </c>
      <c r="H116" s="627">
        <f t="shared" si="15"/>
        <v>698068.05853354675</v>
      </c>
      <c r="I116" s="628">
        <f t="shared" si="24"/>
        <v>698068.05853354675</v>
      </c>
      <c r="J116" s="504">
        <f t="shared" si="16"/>
        <v>0</v>
      </c>
      <c r="K116" s="504"/>
      <c r="L116" s="512"/>
      <c r="M116" s="504">
        <f t="shared" si="25"/>
        <v>0</v>
      </c>
      <c r="N116" s="512"/>
      <c r="O116" s="504">
        <f t="shared" si="26"/>
        <v>0</v>
      </c>
      <c r="P116" s="504">
        <f t="shared" si="27"/>
        <v>0</v>
      </c>
    </row>
    <row r="117" spans="2:16">
      <c r="B117" s="145" t="str">
        <f t="shared" si="14"/>
        <v/>
      </c>
      <c r="C117" s="495">
        <f>IF(D94="","-",+C116+1)</f>
        <v>2035</v>
      </c>
      <c r="D117" s="349">
        <f>IF(F116+SUM(E$100:E116)=D$93,F116,D$93-SUM(E$100:E116))</f>
        <v>2162755.9682539711</v>
      </c>
      <c r="E117" s="509">
        <f t="shared" si="21"/>
        <v>425460.19047619047</v>
      </c>
      <c r="F117" s="510">
        <f t="shared" si="22"/>
        <v>1737295.7777777805</v>
      </c>
      <c r="G117" s="510">
        <f t="shared" si="23"/>
        <v>1950025.8730158759</v>
      </c>
      <c r="H117" s="627">
        <f t="shared" si="15"/>
        <v>649242.76873222925</v>
      </c>
      <c r="I117" s="628">
        <f t="shared" si="24"/>
        <v>649242.76873222925</v>
      </c>
      <c r="J117" s="504">
        <f t="shared" si="16"/>
        <v>0</v>
      </c>
      <c r="K117" s="504"/>
      <c r="L117" s="512"/>
      <c r="M117" s="504">
        <f t="shared" si="25"/>
        <v>0</v>
      </c>
      <c r="N117" s="512"/>
      <c r="O117" s="504">
        <f t="shared" si="26"/>
        <v>0</v>
      </c>
      <c r="P117" s="504">
        <f t="shared" si="27"/>
        <v>0</v>
      </c>
    </row>
    <row r="118" spans="2:16">
      <c r="B118" s="145" t="str">
        <f t="shared" si="14"/>
        <v/>
      </c>
      <c r="C118" s="495">
        <f>IF(D94="","-",+C117+1)</f>
        <v>2036</v>
      </c>
      <c r="D118" s="349">
        <f>IF(F117+SUM(E$100:E117)=D$93,F117,D$93-SUM(E$100:E117))</f>
        <v>1737295.7777777805</v>
      </c>
      <c r="E118" s="509">
        <f t="shared" si="21"/>
        <v>425460.19047619047</v>
      </c>
      <c r="F118" s="510">
        <f t="shared" si="22"/>
        <v>1311835.58730159</v>
      </c>
      <c r="G118" s="510">
        <f t="shared" si="23"/>
        <v>1524565.6825396852</v>
      </c>
      <c r="H118" s="627">
        <f t="shared" si="15"/>
        <v>600417.47893091175</v>
      </c>
      <c r="I118" s="628">
        <f t="shared" si="24"/>
        <v>600417.47893091175</v>
      </c>
      <c r="J118" s="504">
        <f t="shared" si="16"/>
        <v>0</v>
      </c>
      <c r="K118" s="504"/>
      <c r="L118" s="512"/>
      <c r="M118" s="504">
        <f t="shared" si="25"/>
        <v>0</v>
      </c>
      <c r="N118" s="512"/>
      <c r="O118" s="504">
        <f t="shared" si="26"/>
        <v>0</v>
      </c>
      <c r="P118" s="504">
        <f t="shared" si="27"/>
        <v>0</v>
      </c>
    </row>
    <row r="119" spans="2:16">
      <c r="B119" s="145" t="str">
        <f t="shared" si="14"/>
        <v/>
      </c>
      <c r="C119" s="495">
        <f>IF(D94="","-",+C118+1)</f>
        <v>2037</v>
      </c>
      <c r="D119" s="349">
        <f>IF(F118+SUM(E$100:E118)=D$93,F118,D$93-SUM(E$100:E118))</f>
        <v>1311835.58730159</v>
      </c>
      <c r="E119" s="509">
        <f t="shared" si="21"/>
        <v>425460.19047619047</v>
      </c>
      <c r="F119" s="510">
        <f t="shared" si="22"/>
        <v>886375.39682539948</v>
      </c>
      <c r="G119" s="510">
        <f t="shared" si="23"/>
        <v>1099105.4920634949</v>
      </c>
      <c r="H119" s="627">
        <f t="shared" si="15"/>
        <v>551592.18912959436</v>
      </c>
      <c r="I119" s="628">
        <f t="shared" si="24"/>
        <v>551592.18912959436</v>
      </c>
      <c r="J119" s="504">
        <f t="shared" si="16"/>
        <v>0</v>
      </c>
      <c r="K119" s="504"/>
      <c r="L119" s="512"/>
      <c r="M119" s="504">
        <f t="shared" si="25"/>
        <v>0</v>
      </c>
      <c r="N119" s="512"/>
      <c r="O119" s="504">
        <f t="shared" si="26"/>
        <v>0</v>
      </c>
      <c r="P119" s="504">
        <f t="shared" si="27"/>
        <v>0</v>
      </c>
    </row>
    <row r="120" spans="2:16">
      <c r="B120" s="145" t="str">
        <f t="shared" si="14"/>
        <v/>
      </c>
      <c r="C120" s="495">
        <f>IF(D94="","-",+C119+1)</f>
        <v>2038</v>
      </c>
      <c r="D120" s="349">
        <f>IF(F119+SUM(E$100:E119)=D$93,F119,D$93-SUM(E$100:E119))</f>
        <v>886375.39682539948</v>
      </c>
      <c r="E120" s="509">
        <f t="shared" si="21"/>
        <v>425460.19047619047</v>
      </c>
      <c r="F120" s="510">
        <f t="shared" si="22"/>
        <v>460915.20634920901</v>
      </c>
      <c r="G120" s="510">
        <f t="shared" si="23"/>
        <v>673645.30158730422</v>
      </c>
      <c r="H120" s="627">
        <f t="shared" si="15"/>
        <v>502766.89932827681</v>
      </c>
      <c r="I120" s="628">
        <f t="shared" si="24"/>
        <v>502766.89932827681</v>
      </c>
      <c r="J120" s="504">
        <f t="shared" si="16"/>
        <v>0</v>
      </c>
      <c r="K120" s="504"/>
      <c r="L120" s="512"/>
      <c r="M120" s="504">
        <f t="shared" si="25"/>
        <v>0</v>
      </c>
      <c r="N120" s="512"/>
      <c r="O120" s="504">
        <f t="shared" si="26"/>
        <v>0</v>
      </c>
      <c r="P120" s="504">
        <f t="shared" si="27"/>
        <v>0</v>
      </c>
    </row>
    <row r="121" spans="2:16">
      <c r="B121" s="145" t="str">
        <f t="shared" si="14"/>
        <v/>
      </c>
      <c r="C121" s="495">
        <f>IF(D94="","-",+C120+1)</f>
        <v>2039</v>
      </c>
      <c r="D121" s="349">
        <f>IF(F120+SUM(E$100:E120)=D$93,F120,D$93-SUM(E$100:E120))</f>
        <v>460915.20634920901</v>
      </c>
      <c r="E121" s="509">
        <f t="shared" si="21"/>
        <v>425460.19047619047</v>
      </c>
      <c r="F121" s="510">
        <f t="shared" si="22"/>
        <v>35455.015873018536</v>
      </c>
      <c r="G121" s="510">
        <f t="shared" si="23"/>
        <v>248185.11111111377</v>
      </c>
      <c r="H121" s="627">
        <f t="shared" si="15"/>
        <v>453941.60952695931</v>
      </c>
      <c r="I121" s="628">
        <f t="shared" si="24"/>
        <v>453941.60952695931</v>
      </c>
      <c r="J121" s="504">
        <f t="shared" si="16"/>
        <v>0</v>
      </c>
      <c r="K121" s="504"/>
      <c r="L121" s="512"/>
      <c r="M121" s="504">
        <f t="shared" si="25"/>
        <v>0</v>
      </c>
      <c r="N121" s="512"/>
      <c r="O121" s="504">
        <f t="shared" si="26"/>
        <v>0</v>
      </c>
      <c r="P121" s="504">
        <f t="shared" si="27"/>
        <v>0</v>
      </c>
    </row>
    <row r="122" spans="2:16">
      <c r="B122" s="145" t="str">
        <f t="shared" si="14"/>
        <v/>
      </c>
      <c r="C122" s="495">
        <f>IF(D94="","-",+C121+1)</f>
        <v>2040</v>
      </c>
      <c r="D122" s="349">
        <f>IF(F121+SUM(E$100:E121)=D$93,F121,D$93-SUM(E$100:E121))</f>
        <v>35455.015873018536</v>
      </c>
      <c r="E122" s="509">
        <f t="shared" si="21"/>
        <v>35455.015873018536</v>
      </c>
      <c r="F122" s="510">
        <f t="shared" si="22"/>
        <v>0</v>
      </c>
      <c r="G122" s="510">
        <f t="shared" si="23"/>
        <v>17727.507936509268</v>
      </c>
      <c r="H122" s="627">
        <f t="shared" si="15"/>
        <v>37489.402948073584</v>
      </c>
      <c r="I122" s="628">
        <f t="shared" si="24"/>
        <v>37489.402948073584</v>
      </c>
      <c r="J122" s="504">
        <f t="shared" si="16"/>
        <v>0</v>
      </c>
      <c r="K122" s="504"/>
      <c r="L122" s="512"/>
      <c r="M122" s="504">
        <f t="shared" si="25"/>
        <v>0</v>
      </c>
      <c r="N122" s="512"/>
      <c r="O122" s="504">
        <f t="shared" si="26"/>
        <v>0</v>
      </c>
      <c r="P122" s="504">
        <f t="shared" si="27"/>
        <v>0</v>
      </c>
    </row>
    <row r="123" spans="2:16">
      <c r="B123" s="145" t="str">
        <f t="shared" si="14"/>
        <v/>
      </c>
      <c r="C123" s="495">
        <f>IF(D94="","-",+C122+1)</f>
        <v>2041</v>
      </c>
      <c r="D123" s="349">
        <f>IF(F122+SUM(E$100:E122)=D$93,F122,D$93-SUM(E$100:E122))</f>
        <v>0</v>
      </c>
      <c r="E123" s="509">
        <f t="shared" si="21"/>
        <v>0</v>
      </c>
      <c r="F123" s="510">
        <f t="shared" si="22"/>
        <v>0</v>
      </c>
      <c r="G123" s="510">
        <f t="shared" si="23"/>
        <v>0</v>
      </c>
      <c r="H123" s="627">
        <f t="shared" si="15"/>
        <v>0</v>
      </c>
      <c r="I123" s="628">
        <f t="shared" si="24"/>
        <v>0</v>
      </c>
      <c r="J123" s="504">
        <f t="shared" si="16"/>
        <v>0</v>
      </c>
      <c r="K123" s="504"/>
      <c r="L123" s="512"/>
      <c r="M123" s="504">
        <f t="shared" si="25"/>
        <v>0</v>
      </c>
      <c r="N123" s="512"/>
      <c r="O123" s="504">
        <f t="shared" si="26"/>
        <v>0</v>
      </c>
      <c r="P123" s="504">
        <f t="shared" si="27"/>
        <v>0</v>
      </c>
    </row>
    <row r="124" spans="2:16">
      <c r="B124" s="145" t="str">
        <f t="shared" si="14"/>
        <v/>
      </c>
      <c r="C124" s="495">
        <f>IF(D94="","-",+C123+1)</f>
        <v>2042</v>
      </c>
      <c r="D124" s="349">
        <f>IF(F123+SUM(E$100:E123)=D$93,F123,D$93-SUM(E$100:E123))</f>
        <v>0</v>
      </c>
      <c r="E124" s="509">
        <f t="shared" si="21"/>
        <v>0</v>
      </c>
      <c r="F124" s="510">
        <f t="shared" si="22"/>
        <v>0</v>
      </c>
      <c r="G124" s="510">
        <f t="shared" si="23"/>
        <v>0</v>
      </c>
      <c r="H124" s="627">
        <f t="shared" si="15"/>
        <v>0</v>
      </c>
      <c r="I124" s="628">
        <f t="shared" si="24"/>
        <v>0</v>
      </c>
      <c r="J124" s="504">
        <f t="shared" si="16"/>
        <v>0</v>
      </c>
      <c r="K124" s="504"/>
      <c r="L124" s="512"/>
      <c r="M124" s="504">
        <f t="shared" si="25"/>
        <v>0</v>
      </c>
      <c r="N124" s="512"/>
      <c r="O124" s="504">
        <f t="shared" si="26"/>
        <v>0</v>
      </c>
      <c r="P124" s="504">
        <f t="shared" si="27"/>
        <v>0</v>
      </c>
    </row>
    <row r="125" spans="2:16">
      <c r="B125" s="145" t="str">
        <f t="shared" si="14"/>
        <v/>
      </c>
      <c r="C125" s="495">
        <f>IF(D94="","-",+C124+1)</f>
        <v>2043</v>
      </c>
      <c r="D125" s="349">
        <f>IF(F124+SUM(E$100:E124)=D$93,F124,D$93-SUM(E$100:E124))</f>
        <v>0</v>
      </c>
      <c r="E125" s="509">
        <f t="shared" si="21"/>
        <v>0</v>
      </c>
      <c r="F125" s="510">
        <f t="shared" si="22"/>
        <v>0</v>
      </c>
      <c r="G125" s="510">
        <f t="shared" si="23"/>
        <v>0</v>
      </c>
      <c r="H125" s="627">
        <f t="shared" si="15"/>
        <v>0</v>
      </c>
      <c r="I125" s="628">
        <f t="shared" si="24"/>
        <v>0</v>
      </c>
      <c r="J125" s="504">
        <f t="shared" si="16"/>
        <v>0</v>
      </c>
      <c r="K125" s="504"/>
      <c r="L125" s="512"/>
      <c r="M125" s="504">
        <f t="shared" si="25"/>
        <v>0</v>
      </c>
      <c r="N125" s="512"/>
      <c r="O125" s="504">
        <f t="shared" si="26"/>
        <v>0</v>
      </c>
      <c r="P125" s="504">
        <f t="shared" si="27"/>
        <v>0</v>
      </c>
    </row>
    <row r="126" spans="2:16">
      <c r="B126" s="145" t="str">
        <f t="shared" si="14"/>
        <v/>
      </c>
      <c r="C126" s="495">
        <f>IF(D94="","-",+C125+1)</f>
        <v>2044</v>
      </c>
      <c r="D126" s="349">
        <f>IF(F125+SUM(E$100:E125)=D$93,F125,D$93-SUM(E$100:E125))</f>
        <v>0</v>
      </c>
      <c r="E126" s="509">
        <f t="shared" si="21"/>
        <v>0</v>
      </c>
      <c r="F126" s="510">
        <f t="shared" si="22"/>
        <v>0</v>
      </c>
      <c r="G126" s="510">
        <f t="shared" si="23"/>
        <v>0</v>
      </c>
      <c r="H126" s="627">
        <f t="shared" si="15"/>
        <v>0</v>
      </c>
      <c r="I126" s="628">
        <f t="shared" si="24"/>
        <v>0</v>
      </c>
      <c r="J126" s="504">
        <f t="shared" si="16"/>
        <v>0</v>
      </c>
      <c r="K126" s="504"/>
      <c r="L126" s="512"/>
      <c r="M126" s="504">
        <f t="shared" si="25"/>
        <v>0</v>
      </c>
      <c r="N126" s="512"/>
      <c r="O126" s="504">
        <f t="shared" si="26"/>
        <v>0</v>
      </c>
      <c r="P126" s="504">
        <f t="shared" si="27"/>
        <v>0</v>
      </c>
    </row>
    <row r="127" spans="2:16">
      <c r="B127" s="145" t="str">
        <f t="shared" si="14"/>
        <v/>
      </c>
      <c r="C127" s="495">
        <f>IF(D94="","-",+C126+1)</f>
        <v>2045</v>
      </c>
      <c r="D127" s="349">
        <f>IF(F126+SUM(E$100:E126)=D$93,F126,D$93-SUM(E$100:E126))</f>
        <v>0</v>
      </c>
      <c r="E127" s="509">
        <f t="shared" si="21"/>
        <v>0</v>
      </c>
      <c r="F127" s="510">
        <f t="shared" si="22"/>
        <v>0</v>
      </c>
      <c r="G127" s="510">
        <f t="shared" si="23"/>
        <v>0</v>
      </c>
      <c r="H127" s="627">
        <f t="shared" si="15"/>
        <v>0</v>
      </c>
      <c r="I127" s="628">
        <f t="shared" si="24"/>
        <v>0</v>
      </c>
      <c r="J127" s="504">
        <f t="shared" si="16"/>
        <v>0</v>
      </c>
      <c r="K127" s="504"/>
      <c r="L127" s="512"/>
      <c r="M127" s="504">
        <f t="shared" si="25"/>
        <v>0</v>
      </c>
      <c r="N127" s="512"/>
      <c r="O127" s="504">
        <f t="shared" si="26"/>
        <v>0</v>
      </c>
      <c r="P127" s="504">
        <f t="shared" si="27"/>
        <v>0</v>
      </c>
    </row>
    <row r="128" spans="2:16">
      <c r="B128" s="145" t="str">
        <f t="shared" si="14"/>
        <v/>
      </c>
      <c r="C128" s="495">
        <f>IF(D94="","-",+C127+1)</f>
        <v>2046</v>
      </c>
      <c r="D128" s="349">
        <f>IF(F127+SUM(E$100:E127)=D$93,F127,D$93-SUM(E$100:E127))</f>
        <v>0</v>
      </c>
      <c r="E128" s="509">
        <f t="shared" si="21"/>
        <v>0</v>
      </c>
      <c r="F128" s="510">
        <f t="shared" si="22"/>
        <v>0</v>
      </c>
      <c r="G128" s="510">
        <f t="shared" si="23"/>
        <v>0</v>
      </c>
      <c r="H128" s="627">
        <f t="shared" si="15"/>
        <v>0</v>
      </c>
      <c r="I128" s="628">
        <f t="shared" si="24"/>
        <v>0</v>
      </c>
      <c r="J128" s="504">
        <f t="shared" si="16"/>
        <v>0</v>
      </c>
      <c r="K128" s="504"/>
      <c r="L128" s="512"/>
      <c r="M128" s="504">
        <f t="shared" si="25"/>
        <v>0</v>
      </c>
      <c r="N128" s="512"/>
      <c r="O128" s="504">
        <f t="shared" si="26"/>
        <v>0</v>
      </c>
      <c r="P128" s="504">
        <f t="shared" si="27"/>
        <v>0</v>
      </c>
    </row>
    <row r="129" spans="2:16">
      <c r="B129" s="145" t="str">
        <f t="shared" si="14"/>
        <v/>
      </c>
      <c r="C129" s="495">
        <f>IF(D94="","-",+C128+1)</f>
        <v>2047</v>
      </c>
      <c r="D129" s="349">
        <f>IF(F128+SUM(E$100:E128)=D$93,F128,D$93-SUM(E$100:E128))</f>
        <v>0</v>
      </c>
      <c r="E129" s="509">
        <f t="shared" si="21"/>
        <v>0</v>
      </c>
      <c r="F129" s="510">
        <f t="shared" si="22"/>
        <v>0</v>
      </c>
      <c r="G129" s="510">
        <f t="shared" si="23"/>
        <v>0</v>
      </c>
      <c r="H129" s="627">
        <f t="shared" si="15"/>
        <v>0</v>
      </c>
      <c r="I129" s="628">
        <f t="shared" si="24"/>
        <v>0</v>
      </c>
      <c r="J129" s="504">
        <f t="shared" si="16"/>
        <v>0</v>
      </c>
      <c r="K129" s="504"/>
      <c r="L129" s="512"/>
      <c r="M129" s="504">
        <f t="shared" si="25"/>
        <v>0</v>
      </c>
      <c r="N129" s="512"/>
      <c r="O129" s="504">
        <f t="shared" si="26"/>
        <v>0</v>
      </c>
      <c r="P129" s="504">
        <f t="shared" si="27"/>
        <v>0</v>
      </c>
    </row>
    <row r="130" spans="2:16">
      <c r="B130" s="145" t="str">
        <f t="shared" si="14"/>
        <v/>
      </c>
      <c r="C130" s="495">
        <f>IF(D94="","-",+C129+1)</f>
        <v>2048</v>
      </c>
      <c r="D130" s="349">
        <f>IF(F129+SUM(E$100:E129)=D$93,F129,D$93-SUM(E$100:E129))</f>
        <v>0</v>
      </c>
      <c r="E130" s="509">
        <f t="shared" si="21"/>
        <v>0</v>
      </c>
      <c r="F130" s="510">
        <f t="shared" si="22"/>
        <v>0</v>
      </c>
      <c r="G130" s="510">
        <f t="shared" si="23"/>
        <v>0</v>
      </c>
      <c r="H130" s="627">
        <f t="shared" si="15"/>
        <v>0</v>
      </c>
      <c r="I130" s="628">
        <f t="shared" si="24"/>
        <v>0</v>
      </c>
      <c r="J130" s="504">
        <f t="shared" si="16"/>
        <v>0</v>
      </c>
      <c r="K130" s="504"/>
      <c r="L130" s="512"/>
      <c r="M130" s="504">
        <f t="shared" si="25"/>
        <v>0</v>
      </c>
      <c r="N130" s="512"/>
      <c r="O130" s="504">
        <f t="shared" si="26"/>
        <v>0</v>
      </c>
      <c r="P130" s="504">
        <f t="shared" si="27"/>
        <v>0</v>
      </c>
    </row>
    <row r="131" spans="2:16">
      <c r="B131" s="145" t="str">
        <f t="shared" si="14"/>
        <v/>
      </c>
      <c r="C131" s="495">
        <f>IF(D94="","-",+C130+1)</f>
        <v>2049</v>
      </c>
      <c r="D131" s="349">
        <f>IF(F130+SUM(E$100:E130)=D$93,F130,D$93-SUM(E$100:E130))</f>
        <v>0</v>
      </c>
      <c r="E131" s="509">
        <f t="shared" si="21"/>
        <v>0</v>
      </c>
      <c r="F131" s="510">
        <f t="shared" si="22"/>
        <v>0</v>
      </c>
      <c r="G131" s="510">
        <f t="shared" si="23"/>
        <v>0</v>
      </c>
      <c r="H131" s="627">
        <f t="shared" si="15"/>
        <v>0</v>
      </c>
      <c r="I131" s="628">
        <f t="shared" si="24"/>
        <v>0</v>
      </c>
      <c r="J131" s="504">
        <f t="shared" si="16"/>
        <v>0</v>
      </c>
      <c r="K131" s="504"/>
      <c r="L131" s="512"/>
      <c r="M131" s="504">
        <f t="shared" si="25"/>
        <v>0</v>
      </c>
      <c r="N131" s="512"/>
      <c r="O131" s="504">
        <f t="shared" si="26"/>
        <v>0</v>
      </c>
      <c r="P131" s="504">
        <f t="shared" si="27"/>
        <v>0</v>
      </c>
    </row>
    <row r="132" spans="2:16">
      <c r="B132" s="145" t="str">
        <f t="shared" si="14"/>
        <v/>
      </c>
      <c r="C132" s="495">
        <f>IF(D94="","-",+C131+1)</f>
        <v>2050</v>
      </c>
      <c r="D132" s="349">
        <f>IF(F131+SUM(E$100:E131)=D$93,F131,D$93-SUM(E$100:E131))</f>
        <v>0</v>
      </c>
      <c r="E132" s="509">
        <f t="shared" si="21"/>
        <v>0</v>
      </c>
      <c r="F132" s="510">
        <f t="shared" si="22"/>
        <v>0</v>
      </c>
      <c r="G132" s="510">
        <f t="shared" si="23"/>
        <v>0</v>
      </c>
      <c r="H132" s="627">
        <f t="shared" si="15"/>
        <v>0</v>
      </c>
      <c r="I132" s="628">
        <f t="shared" si="24"/>
        <v>0</v>
      </c>
      <c r="J132" s="504">
        <f t="shared" ref="J132:J155" si="28">+I542-H542</f>
        <v>0</v>
      </c>
      <c r="K132" s="504"/>
      <c r="L132" s="512"/>
      <c r="M132" s="504">
        <f t="shared" ref="M132:M155" si="29">IF(L542&lt;&gt;0,+H542-L542,0)</f>
        <v>0</v>
      </c>
      <c r="N132" s="512"/>
      <c r="O132" s="504">
        <f t="shared" ref="O132:O155" si="30">IF(N542&lt;&gt;0,+I542-N542,0)</f>
        <v>0</v>
      </c>
      <c r="P132" s="504">
        <f t="shared" ref="P132:P155" si="31">+O542-M542</f>
        <v>0</v>
      </c>
    </row>
    <row r="133" spans="2:16">
      <c r="B133" s="145" t="str">
        <f t="shared" si="14"/>
        <v/>
      </c>
      <c r="C133" s="495">
        <f>IF(D94="","-",+C132+1)</f>
        <v>2051</v>
      </c>
      <c r="D133" s="349">
        <f>IF(F132+SUM(E$100:E132)=D$93,F132,D$93-SUM(E$100:E132))</f>
        <v>0</v>
      </c>
      <c r="E133" s="509">
        <f t="shared" si="21"/>
        <v>0</v>
      </c>
      <c r="F133" s="510">
        <f t="shared" si="22"/>
        <v>0</v>
      </c>
      <c r="G133" s="510">
        <f t="shared" si="23"/>
        <v>0</v>
      </c>
      <c r="H133" s="627">
        <f t="shared" si="15"/>
        <v>0</v>
      </c>
      <c r="I133" s="628">
        <f t="shared" si="24"/>
        <v>0</v>
      </c>
      <c r="J133" s="504">
        <f t="shared" si="28"/>
        <v>0</v>
      </c>
      <c r="K133" s="504"/>
      <c r="L133" s="512"/>
      <c r="M133" s="504">
        <f t="shared" si="29"/>
        <v>0</v>
      </c>
      <c r="N133" s="512"/>
      <c r="O133" s="504">
        <f t="shared" si="30"/>
        <v>0</v>
      </c>
      <c r="P133" s="504">
        <f t="shared" si="31"/>
        <v>0</v>
      </c>
    </row>
    <row r="134" spans="2:16">
      <c r="B134" s="145" t="str">
        <f t="shared" si="14"/>
        <v/>
      </c>
      <c r="C134" s="495">
        <f>IF(D94="","-",+C133+1)</f>
        <v>2052</v>
      </c>
      <c r="D134" s="349">
        <f>IF(F133+SUM(E$100:E133)=D$93,F133,D$93-SUM(E$100:E133))</f>
        <v>0</v>
      </c>
      <c r="E134" s="509">
        <f t="shared" si="21"/>
        <v>0</v>
      </c>
      <c r="F134" s="510">
        <f t="shared" si="22"/>
        <v>0</v>
      </c>
      <c r="G134" s="510">
        <f t="shared" si="23"/>
        <v>0</v>
      </c>
      <c r="H134" s="627">
        <f t="shared" si="15"/>
        <v>0</v>
      </c>
      <c r="I134" s="628">
        <f t="shared" si="24"/>
        <v>0</v>
      </c>
      <c r="J134" s="504">
        <f t="shared" si="28"/>
        <v>0</v>
      </c>
      <c r="K134" s="504"/>
      <c r="L134" s="512"/>
      <c r="M134" s="504">
        <f t="shared" si="29"/>
        <v>0</v>
      </c>
      <c r="N134" s="512"/>
      <c r="O134" s="504">
        <f t="shared" si="30"/>
        <v>0</v>
      </c>
      <c r="P134" s="504">
        <f t="shared" si="31"/>
        <v>0</v>
      </c>
    </row>
    <row r="135" spans="2:16">
      <c r="B135" s="145" t="str">
        <f t="shared" si="14"/>
        <v/>
      </c>
      <c r="C135" s="495">
        <f>IF(D94="","-",+C134+1)</f>
        <v>2053</v>
      </c>
      <c r="D135" s="349">
        <f>IF(F134+SUM(E$100:E134)=D$93,F134,D$93-SUM(E$100:E134))</f>
        <v>0</v>
      </c>
      <c r="E135" s="509">
        <f t="shared" si="21"/>
        <v>0</v>
      </c>
      <c r="F135" s="510">
        <f t="shared" si="22"/>
        <v>0</v>
      </c>
      <c r="G135" s="510">
        <f t="shared" si="23"/>
        <v>0</v>
      </c>
      <c r="H135" s="627">
        <f t="shared" si="15"/>
        <v>0</v>
      </c>
      <c r="I135" s="628">
        <f t="shared" si="24"/>
        <v>0</v>
      </c>
      <c r="J135" s="504">
        <f t="shared" si="28"/>
        <v>0</v>
      </c>
      <c r="K135" s="504"/>
      <c r="L135" s="512"/>
      <c r="M135" s="504">
        <f t="shared" si="29"/>
        <v>0</v>
      </c>
      <c r="N135" s="512"/>
      <c r="O135" s="504">
        <f t="shared" si="30"/>
        <v>0</v>
      </c>
      <c r="P135" s="504">
        <f t="shared" si="31"/>
        <v>0</v>
      </c>
    </row>
    <row r="136" spans="2:16">
      <c r="B136" s="145" t="str">
        <f t="shared" si="14"/>
        <v/>
      </c>
      <c r="C136" s="495">
        <f>IF(D94="","-",+C135+1)</f>
        <v>2054</v>
      </c>
      <c r="D136" s="349">
        <f>IF(F135+SUM(E$100:E135)=D$93,F135,D$93-SUM(E$100:E135))</f>
        <v>0</v>
      </c>
      <c r="E136" s="509">
        <f t="shared" si="21"/>
        <v>0</v>
      </c>
      <c r="F136" s="510">
        <f t="shared" si="22"/>
        <v>0</v>
      </c>
      <c r="G136" s="510">
        <f t="shared" si="23"/>
        <v>0</v>
      </c>
      <c r="H136" s="627">
        <f t="shared" si="15"/>
        <v>0</v>
      </c>
      <c r="I136" s="628">
        <f t="shared" si="24"/>
        <v>0</v>
      </c>
      <c r="J136" s="504">
        <f t="shared" si="28"/>
        <v>0</v>
      </c>
      <c r="K136" s="504"/>
      <c r="L136" s="512"/>
      <c r="M136" s="504">
        <f t="shared" si="29"/>
        <v>0</v>
      </c>
      <c r="N136" s="512"/>
      <c r="O136" s="504">
        <f t="shared" si="30"/>
        <v>0</v>
      </c>
      <c r="P136" s="504">
        <f t="shared" si="31"/>
        <v>0</v>
      </c>
    </row>
    <row r="137" spans="2:16">
      <c r="B137" s="145" t="str">
        <f t="shared" si="14"/>
        <v/>
      </c>
      <c r="C137" s="495">
        <f>IF(D94="","-",+C136+1)</f>
        <v>2055</v>
      </c>
      <c r="D137" s="349">
        <f>IF(F136+SUM(E$100:E136)=D$93,F136,D$93-SUM(E$100:E136))</f>
        <v>0</v>
      </c>
      <c r="E137" s="509">
        <f t="shared" si="21"/>
        <v>0</v>
      </c>
      <c r="F137" s="510">
        <f t="shared" si="22"/>
        <v>0</v>
      </c>
      <c r="G137" s="510">
        <f t="shared" si="23"/>
        <v>0</v>
      </c>
      <c r="H137" s="627">
        <f t="shared" si="15"/>
        <v>0</v>
      </c>
      <c r="I137" s="628">
        <f t="shared" si="24"/>
        <v>0</v>
      </c>
      <c r="J137" s="504">
        <f t="shared" si="28"/>
        <v>0</v>
      </c>
      <c r="K137" s="504"/>
      <c r="L137" s="512"/>
      <c r="M137" s="504">
        <f t="shared" si="29"/>
        <v>0</v>
      </c>
      <c r="N137" s="512"/>
      <c r="O137" s="504">
        <f t="shared" si="30"/>
        <v>0</v>
      </c>
      <c r="P137" s="504">
        <f t="shared" si="31"/>
        <v>0</v>
      </c>
    </row>
    <row r="138" spans="2:16">
      <c r="B138" s="145" t="str">
        <f t="shared" si="14"/>
        <v/>
      </c>
      <c r="C138" s="495">
        <f>IF(D94="","-",+C137+1)</f>
        <v>2056</v>
      </c>
      <c r="D138" s="349">
        <f>IF(F137+SUM(E$100:E137)=D$93,F137,D$93-SUM(E$100:E137))</f>
        <v>0</v>
      </c>
      <c r="E138" s="509">
        <f t="shared" si="21"/>
        <v>0</v>
      </c>
      <c r="F138" s="510">
        <f t="shared" si="22"/>
        <v>0</v>
      </c>
      <c r="G138" s="510">
        <f t="shared" si="23"/>
        <v>0</v>
      </c>
      <c r="H138" s="627">
        <f t="shared" si="15"/>
        <v>0</v>
      </c>
      <c r="I138" s="628">
        <f t="shared" si="24"/>
        <v>0</v>
      </c>
      <c r="J138" s="504">
        <f t="shared" si="28"/>
        <v>0</v>
      </c>
      <c r="K138" s="504"/>
      <c r="L138" s="512"/>
      <c r="M138" s="504">
        <f t="shared" si="29"/>
        <v>0</v>
      </c>
      <c r="N138" s="512"/>
      <c r="O138" s="504">
        <f t="shared" si="30"/>
        <v>0</v>
      </c>
      <c r="P138" s="504">
        <f t="shared" si="31"/>
        <v>0</v>
      </c>
    </row>
    <row r="139" spans="2:16">
      <c r="B139" s="145" t="str">
        <f t="shared" si="14"/>
        <v/>
      </c>
      <c r="C139" s="495">
        <f>IF(D94="","-",+C138+1)</f>
        <v>2057</v>
      </c>
      <c r="D139" s="349">
        <f>IF(F138+SUM(E$100:E138)=D$93,F138,D$93-SUM(E$100:E138))</f>
        <v>0</v>
      </c>
      <c r="E139" s="509">
        <f t="shared" si="21"/>
        <v>0</v>
      </c>
      <c r="F139" s="510">
        <f t="shared" si="22"/>
        <v>0</v>
      </c>
      <c r="G139" s="510">
        <f t="shared" si="23"/>
        <v>0</v>
      </c>
      <c r="H139" s="627">
        <f t="shared" si="15"/>
        <v>0</v>
      </c>
      <c r="I139" s="628">
        <f t="shared" si="24"/>
        <v>0</v>
      </c>
      <c r="J139" s="504">
        <f t="shared" si="28"/>
        <v>0</v>
      </c>
      <c r="K139" s="504"/>
      <c r="L139" s="512"/>
      <c r="M139" s="504">
        <f t="shared" si="29"/>
        <v>0</v>
      </c>
      <c r="N139" s="512"/>
      <c r="O139" s="504">
        <f t="shared" si="30"/>
        <v>0</v>
      </c>
      <c r="P139" s="504">
        <f t="shared" si="31"/>
        <v>0</v>
      </c>
    </row>
    <row r="140" spans="2:16">
      <c r="B140" s="145" t="str">
        <f t="shared" si="14"/>
        <v/>
      </c>
      <c r="C140" s="495">
        <f>IF(D94="","-",+C139+1)</f>
        <v>2058</v>
      </c>
      <c r="D140" s="349">
        <f>IF(F139+SUM(E$100:E139)=D$93,F139,D$93-SUM(E$100:E139))</f>
        <v>0</v>
      </c>
      <c r="E140" s="509">
        <f t="shared" si="21"/>
        <v>0</v>
      </c>
      <c r="F140" s="510">
        <f t="shared" si="22"/>
        <v>0</v>
      </c>
      <c r="G140" s="510">
        <f t="shared" si="23"/>
        <v>0</v>
      </c>
      <c r="H140" s="627">
        <f t="shared" si="15"/>
        <v>0</v>
      </c>
      <c r="I140" s="628">
        <f t="shared" si="24"/>
        <v>0</v>
      </c>
      <c r="J140" s="504">
        <f t="shared" si="28"/>
        <v>0</v>
      </c>
      <c r="K140" s="504"/>
      <c r="L140" s="512"/>
      <c r="M140" s="504">
        <f t="shared" si="29"/>
        <v>0</v>
      </c>
      <c r="N140" s="512"/>
      <c r="O140" s="504">
        <f t="shared" si="30"/>
        <v>0</v>
      </c>
      <c r="P140" s="504">
        <f t="shared" si="31"/>
        <v>0</v>
      </c>
    </row>
    <row r="141" spans="2:16">
      <c r="B141" s="145" t="str">
        <f t="shared" si="14"/>
        <v/>
      </c>
      <c r="C141" s="495">
        <f>IF(D94="","-",+C140+1)</f>
        <v>2059</v>
      </c>
      <c r="D141" s="349">
        <f>IF(F140+SUM(E$100:E140)=D$93,F140,D$93-SUM(E$100:E140))</f>
        <v>0</v>
      </c>
      <c r="E141" s="509">
        <f t="shared" si="21"/>
        <v>0</v>
      </c>
      <c r="F141" s="510">
        <f t="shared" si="22"/>
        <v>0</v>
      </c>
      <c r="G141" s="510">
        <f t="shared" si="23"/>
        <v>0</v>
      </c>
      <c r="H141" s="627">
        <f t="shared" si="15"/>
        <v>0</v>
      </c>
      <c r="I141" s="628">
        <f t="shared" si="24"/>
        <v>0</v>
      </c>
      <c r="J141" s="504">
        <f t="shared" si="28"/>
        <v>0</v>
      </c>
      <c r="K141" s="504"/>
      <c r="L141" s="512"/>
      <c r="M141" s="504">
        <f t="shared" si="29"/>
        <v>0</v>
      </c>
      <c r="N141" s="512"/>
      <c r="O141" s="504">
        <f t="shared" si="30"/>
        <v>0</v>
      </c>
      <c r="P141" s="504">
        <f t="shared" si="31"/>
        <v>0</v>
      </c>
    </row>
    <row r="142" spans="2:16">
      <c r="B142" s="145" t="str">
        <f t="shared" si="14"/>
        <v/>
      </c>
      <c r="C142" s="495">
        <f>IF(D94="","-",+C141+1)</f>
        <v>2060</v>
      </c>
      <c r="D142" s="349">
        <f>IF(F141+SUM(E$100:E141)=D$93,F141,D$93-SUM(E$100:E141))</f>
        <v>0</v>
      </c>
      <c r="E142" s="509">
        <f t="shared" si="21"/>
        <v>0</v>
      </c>
      <c r="F142" s="510">
        <f t="shared" si="22"/>
        <v>0</v>
      </c>
      <c r="G142" s="510">
        <f t="shared" si="23"/>
        <v>0</v>
      </c>
      <c r="H142" s="627">
        <f t="shared" si="15"/>
        <v>0</v>
      </c>
      <c r="I142" s="628">
        <f t="shared" si="24"/>
        <v>0</v>
      </c>
      <c r="J142" s="504">
        <f t="shared" si="28"/>
        <v>0</v>
      </c>
      <c r="K142" s="504"/>
      <c r="L142" s="512"/>
      <c r="M142" s="504">
        <f t="shared" si="29"/>
        <v>0</v>
      </c>
      <c r="N142" s="512"/>
      <c r="O142" s="504">
        <f t="shared" si="30"/>
        <v>0</v>
      </c>
      <c r="P142" s="504">
        <f t="shared" si="31"/>
        <v>0</v>
      </c>
    </row>
    <row r="143" spans="2:16">
      <c r="B143" s="145" t="str">
        <f t="shared" si="14"/>
        <v/>
      </c>
      <c r="C143" s="495">
        <f>IF(D94="","-",+C142+1)</f>
        <v>2061</v>
      </c>
      <c r="D143" s="349">
        <f>IF(F142+SUM(E$100:E142)=D$93,F142,D$93-SUM(E$100:E142))</f>
        <v>0</v>
      </c>
      <c r="E143" s="509">
        <f t="shared" si="21"/>
        <v>0</v>
      </c>
      <c r="F143" s="510">
        <f t="shared" si="22"/>
        <v>0</v>
      </c>
      <c r="G143" s="510">
        <f t="shared" si="23"/>
        <v>0</v>
      </c>
      <c r="H143" s="627">
        <f t="shared" si="15"/>
        <v>0</v>
      </c>
      <c r="I143" s="628">
        <f t="shared" si="24"/>
        <v>0</v>
      </c>
      <c r="J143" s="504">
        <f t="shared" si="28"/>
        <v>0</v>
      </c>
      <c r="K143" s="504"/>
      <c r="L143" s="512"/>
      <c r="M143" s="504">
        <f t="shared" si="29"/>
        <v>0</v>
      </c>
      <c r="N143" s="512"/>
      <c r="O143" s="504">
        <f t="shared" si="30"/>
        <v>0</v>
      </c>
      <c r="P143" s="504">
        <f t="shared" si="31"/>
        <v>0</v>
      </c>
    </row>
    <row r="144" spans="2:16">
      <c r="B144" s="145" t="str">
        <f t="shared" si="14"/>
        <v/>
      </c>
      <c r="C144" s="495">
        <f>IF(D94="","-",+C143+1)</f>
        <v>2062</v>
      </c>
      <c r="D144" s="349">
        <f>IF(F143+SUM(E$100:E143)=D$93,F143,D$93-SUM(E$100:E143))</f>
        <v>0</v>
      </c>
      <c r="E144" s="509">
        <f t="shared" si="21"/>
        <v>0</v>
      </c>
      <c r="F144" s="510">
        <f t="shared" si="22"/>
        <v>0</v>
      </c>
      <c r="G144" s="510">
        <f t="shared" si="23"/>
        <v>0</v>
      </c>
      <c r="H144" s="627">
        <f t="shared" si="15"/>
        <v>0</v>
      </c>
      <c r="I144" s="628">
        <f t="shared" si="24"/>
        <v>0</v>
      </c>
      <c r="J144" s="504">
        <f t="shared" si="28"/>
        <v>0</v>
      </c>
      <c r="K144" s="504"/>
      <c r="L144" s="512"/>
      <c r="M144" s="504">
        <f t="shared" si="29"/>
        <v>0</v>
      </c>
      <c r="N144" s="512"/>
      <c r="O144" s="504">
        <f t="shared" si="30"/>
        <v>0</v>
      </c>
      <c r="P144" s="504">
        <f t="shared" si="31"/>
        <v>0</v>
      </c>
    </row>
    <row r="145" spans="2:16">
      <c r="B145" s="145" t="str">
        <f t="shared" si="14"/>
        <v/>
      </c>
      <c r="C145" s="495">
        <f>IF(D94="","-",+C144+1)</f>
        <v>2063</v>
      </c>
      <c r="D145" s="349">
        <f>IF(F144+SUM(E$100:E144)=D$93,F144,D$93-SUM(E$100:E144))</f>
        <v>0</v>
      </c>
      <c r="E145" s="509">
        <f t="shared" si="21"/>
        <v>0</v>
      </c>
      <c r="F145" s="510">
        <f t="shared" si="22"/>
        <v>0</v>
      </c>
      <c r="G145" s="510">
        <f t="shared" si="23"/>
        <v>0</v>
      </c>
      <c r="H145" s="627">
        <f t="shared" si="15"/>
        <v>0</v>
      </c>
      <c r="I145" s="628">
        <f t="shared" si="24"/>
        <v>0</v>
      </c>
      <c r="J145" s="504">
        <f t="shared" si="28"/>
        <v>0</v>
      </c>
      <c r="K145" s="504"/>
      <c r="L145" s="512"/>
      <c r="M145" s="504">
        <f t="shared" si="29"/>
        <v>0</v>
      </c>
      <c r="N145" s="512"/>
      <c r="O145" s="504">
        <f t="shared" si="30"/>
        <v>0</v>
      </c>
      <c r="P145" s="504">
        <f t="shared" si="31"/>
        <v>0</v>
      </c>
    </row>
    <row r="146" spans="2:16">
      <c r="B146" s="145" t="str">
        <f t="shared" si="14"/>
        <v/>
      </c>
      <c r="C146" s="495">
        <f>IF(D94="","-",+C145+1)</f>
        <v>2064</v>
      </c>
      <c r="D146" s="349">
        <f>IF(F145+SUM(E$100:E145)=D$93,F145,D$93-SUM(E$100:E145))</f>
        <v>0</v>
      </c>
      <c r="E146" s="509">
        <f t="shared" si="21"/>
        <v>0</v>
      </c>
      <c r="F146" s="510">
        <f t="shared" si="22"/>
        <v>0</v>
      </c>
      <c r="G146" s="510">
        <f t="shared" si="23"/>
        <v>0</v>
      </c>
      <c r="H146" s="627">
        <f t="shared" si="15"/>
        <v>0</v>
      </c>
      <c r="I146" s="628">
        <f t="shared" si="24"/>
        <v>0</v>
      </c>
      <c r="J146" s="504">
        <f t="shared" si="28"/>
        <v>0</v>
      </c>
      <c r="K146" s="504"/>
      <c r="L146" s="512"/>
      <c r="M146" s="504">
        <f t="shared" si="29"/>
        <v>0</v>
      </c>
      <c r="N146" s="512"/>
      <c r="O146" s="504">
        <f t="shared" si="30"/>
        <v>0</v>
      </c>
      <c r="P146" s="504">
        <f t="shared" si="31"/>
        <v>0</v>
      </c>
    </row>
    <row r="147" spans="2:16">
      <c r="B147" s="145" t="str">
        <f t="shared" si="14"/>
        <v/>
      </c>
      <c r="C147" s="495">
        <f>IF(D94="","-",+C146+1)</f>
        <v>2065</v>
      </c>
      <c r="D147" s="349">
        <f>IF(F146+SUM(E$100:E146)=D$93,F146,D$93-SUM(E$100:E146))</f>
        <v>0</v>
      </c>
      <c r="E147" s="509">
        <f t="shared" si="21"/>
        <v>0</v>
      </c>
      <c r="F147" s="510">
        <f t="shared" si="22"/>
        <v>0</v>
      </c>
      <c r="G147" s="510">
        <f t="shared" si="23"/>
        <v>0</v>
      </c>
      <c r="H147" s="627">
        <f t="shared" si="15"/>
        <v>0</v>
      </c>
      <c r="I147" s="628">
        <f t="shared" si="24"/>
        <v>0</v>
      </c>
      <c r="J147" s="504">
        <f t="shared" si="28"/>
        <v>0</v>
      </c>
      <c r="K147" s="504"/>
      <c r="L147" s="512"/>
      <c r="M147" s="504">
        <f t="shared" si="29"/>
        <v>0</v>
      </c>
      <c r="N147" s="512"/>
      <c r="O147" s="504">
        <f t="shared" si="30"/>
        <v>0</v>
      </c>
      <c r="P147" s="504">
        <f t="shared" si="31"/>
        <v>0</v>
      </c>
    </row>
    <row r="148" spans="2:16">
      <c r="B148" s="145" t="str">
        <f t="shared" si="14"/>
        <v/>
      </c>
      <c r="C148" s="495">
        <f>IF(D94="","-",+C147+1)</f>
        <v>2066</v>
      </c>
      <c r="D148" s="349">
        <f>IF(F147+SUM(E$100:E147)=D$93,F147,D$93-SUM(E$100:E147))</f>
        <v>0</v>
      </c>
      <c r="E148" s="509">
        <f t="shared" si="21"/>
        <v>0</v>
      </c>
      <c r="F148" s="510">
        <f t="shared" si="22"/>
        <v>0</v>
      </c>
      <c r="G148" s="510">
        <f t="shared" si="23"/>
        <v>0</v>
      </c>
      <c r="H148" s="627">
        <f t="shared" si="15"/>
        <v>0</v>
      </c>
      <c r="I148" s="628">
        <f t="shared" si="24"/>
        <v>0</v>
      </c>
      <c r="J148" s="504">
        <f t="shared" si="28"/>
        <v>0</v>
      </c>
      <c r="K148" s="504"/>
      <c r="L148" s="512"/>
      <c r="M148" s="504">
        <f t="shared" si="29"/>
        <v>0</v>
      </c>
      <c r="N148" s="512"/>
      <c r="O148" s="504">
        <f t="shared" si="30"/>
        <v>0</v>
      </c>
      <c r="P148" s="504">
        <f t="shared" si="31"/>
        <v>0</v>
      </c>
    </row>
    <row r="149" spans="2:16">
      <c r="B149" s="145" t="str">
        <f t="shared" si="14"/>
        <v/>
      </c>
      <c r="C149" s="495">
        <f>IF(D94="","-",+C148+1)</f>
        <v>2067</v>
      </c>
      <c r="D149" s="349">
        <f>IF(F148+SUM(E$100:E148)=D$93,F148,D$93-SUM(E$100:E148))</f>
        <v>0</v>
      </c>
      <c r="E149" s="509">
        <f t="shared" si="21"/>
        <v>0</v>
      </c>
      <c r="F149" s="510">
        <f t="shared" si="22"/>
        <v>0</v>
      </c>
      <c r="G149" s="510">
        <f t="shared" si="23"/>
        <v>0</v>
      </c>
      <c r="H149" s="627">
        <f t="shared" si="15"/>
        <v>0</v>
      </c>
      <c r="I149" s="628">
        <f t="shared" si="24"/>
        <v>0</v>
      </c>
      <c r="J149" s="504">
        <f t="shared" si="28"/>
        <v>0</v>
      </c>
      <c r="K149" s="504"/>
      <c r="L149" s="512"/>
      <c r="M149" s="504">
        <f t="shared" si="29"/>
        <v>0</v>
      </c>
      <c r="N149" s="512"/>
      <c r="O149" s="504">
        <f t="shared" si="30"/>
        <v>0</v>
      </c>
      <c r="P149" s="504">
        <f t="shared" si="31"/>
        <v>0</v>
      </c>
    </row>
    <row r="150" spans="2:16">
      <c r="B150" s="145" t="str">
        <f t="shared" si="14"/>
        <v/>
      </c>
      <c r="C150" s="495">
        <f>IF(D94="","-",+C149+1)</f>
        <v>2068</v>
      </c>
      <c r="D150" s="349">
        <f>IF(F149+SUM(E$100:E149)=D$93,F149,D$93-SUM(E$100:E149))</f>
        <v>0</v>
      </c>
      <c r="E150" s="509">
        <f t="shared" si="21"/>
        <v>0</v>
      </c>
      <c r="F150" s="510">
        <f t="shared" si="22"/>
        <v>0</v>
      </c>
      <c r="G150" s="510">
        <f t="shared" si="23"/>
        <v>0</v>
      </c>
      <c r="H150" s="627">
        <f t="shared" si="15"/>
        <v>0</v>
      </c>
      <c r="I150" s="628">
        <f t="shared" si="24"/>
        <v>0</v>
      </c>
      <c r="J150" s="504">
        <f t="shared" si="28"/>
        <v>0</v>
      </c>
      <c r="K150" s="504"/>
      <c r="L150" s="512"/>
      <c r="M150" s="504">
        <f t="shared" si="29"/>
        <v>0</v>
      </c>
      <c r="N150" s="512"/>
      <c r="O150" s="504">
        <f t="shared" si="30"/>
        <v>0</v>
      </c>
      <c r="P150" s="504">
        <f t="shared" si="31"/>
        <v>0</v>
      </c>
    </row>
    <row r="151" spans="2:16">
      <c r="B151" s="145" t="str">
        <f t="shared" si="14"/>
        <v/>
      </c>
      <c r="C151" s="495">
        <f>IF(D94="","-",+C150+1)</f>
        <v>2069</v>
      </c>
      <c r="D151" s="349">
        <f>IF(F150+SUM(E$100:E150)=D$93,F150,D$93-SUM(E$100:E150))</f>
        <v>0</v>
      </c>
      <c r="E151" s="509">
        <f t="shared" si="21"/>
        <v>0</v>
      </c>
      <c r="F151" s="510">
        <f t="shared" si="22"/>
        <v>0</v>
      </c>
      <c r="G151" s="510">
        <f t="shared" si="23"/>
        <v>0</v>
      </c>
      <c r="H151" s="627">
        <f t="shared" si="15"/>
        <v>0</v>
      </c>
      <c r="I151" s="628">
        <f t="shared" si="24"/>
        <v>0</v>
      </c>
      <c r="J151" s="504">
        <f t="shared" si="28"/>
        <v>0</v>
      </c>
      <c r="K151" s="504"/>
      <c r="L151" s="512"/>
      <c r="M151" s="504">
        <f t="shared" si="29"/>
        <v>0</v>
      </c>
      <c r="N151" s="512"/>
      <c r="O151" s="504">
        <f t="shared" si="30"/>
        <v>0</v>
      </c>
      <c r="P151" s="504">
        <f t="shared" si="31"/>
        <v>0</v>
      </c>
    </row>
    <row r="152" spans="2:16">
      <c r="B152" s="145" t="str">
        <f t="shared" si="14"/>
        <v/>
      </c>
      <c r="C152" s="495">
        <f>IF(D94="","-",+C151+1)</f>
        <v>2070</v>
      </c>
      <c r="D152" s="349">
        <f>IF(F151+SUM(E$100:E151)=D$93,F151,D$93-SUM(E$100:E151))</f>
        <v>0</v>
      </c>
      <c r="E152" s="509">
        <f t="shared" si="21"/>
        <v>0</v>
      </c>
      <c r="F152" s="510">
        <f t="shared" si="22"/>
        <v>0</v>
      </c>
      <c r="G152" s="510">
        <f t="shared" si="23"/>
        <v>0</v>
      </c>
      <c r="H152" s="627">
        <f t="shared" si="15"/>
        <v>0</v>
      </c>
      <c r="I152" s="628">
        <f t="shared" si="24"/>
        <v>0</v>
      </c>
      <c r="J152" s="504">
        <f t="shared" si="28"/>
        <v>0</v>
      </c>
      <c r="K152" s="504"/>
      <c r="L152" s="512"/>
      <c r="M152" s="504">
        <f t="shared" si="29"/>
        <v>0</v>
      </c>
      <c r="N152" s="512"/>
      <c r="O152" s="504">
        <f t="shared" si="30"/>
        <v>0</v>
      </c>
      <c r="P152" s="504">
        <f t="shared" si="31"/>
        <v>0</v>
      </c>
    </row>
    <row r="153" spans="2:16">
      <c r="B153" s="145" t="str">
        <f t="shared" si="14"/>
        <v/>
      </c>
      <c r="C153" s="495">
        <f>IF(D94="","-",+C152+1)</f>
        <v>2071</v>
      </c>
      <c r="D153" s="349">
        <f>IF(F152+SUM(E$100:E152)=D$93,F152,D$93-SUM(E$100:E152))</f>
        <v>0</v>
      </c>
      <c r="E153" s="509">
        <f t="shared" si="21"/>
        <v>0</v>
      </c>
      <c r="F153" s="510">
        <f t="shared" si="22"/>
        <v>0</v>
      </c>
      <c r="G153" s="510">
        <f t="shared" si="23"/>
        <v>0</v>
      </c>
      <c r="H153" s="627">
        <f t="shared" si="15"/>
        <v>0</v>
      </c>
      <c r="I153" s="628">
        <f t="shared" si="24"/>
        <v>0</v>
      </c>
      <c r="J153" s="504">
        <f t="shared" si="28"/>
        <v>0</v>
      </c>
      <c r="K153" s="504"/>
      <c r="L153" s="512"/>
      <c r="M153" s="504">
        <f t="shared" si="29"/>
        <v>0</v>
      </c>
      <c r="N153" s="512"/>
      <c r="O153" s="504">
        <f t="shared" si="30"/>
        <v>0</v>
      </c>
      <c r="P153" s="504">
        <f t="shared" si="31"/>
        <v>0</v>
      </c>
    </row>
    <row r="154" spans="2:16">
      <c r="B154" s="145" t="str">
        <f t="shared" si="14"/>
        <v/>
      </c>
      <c r="C154" s="495">
        <f>IF(D94="","-",+C153+1)</f>
        <v>2072</v>
      </c>
      <c r="D154" s="349">
        <f>IF(F153+SUM(E$100:E153)=D$93,F153,D$93-SUM(E$100:E153))</f>
        <v>0</v>
      </c>
      <c r="E154" s="509">
        <f t="shared" si="21"/>
        <v>0</v>
      </c>
      <c r="F154" s="510">
        <f t="shared" si="22"/>
        <v>0</v>
      </c>
      <c r="G154" s="510">
        <f t="shared" si="23"/>
        <v>0</v>
      </c>
      <c r="H154" s="627">
        <f t="shared" si="15"/>
        <v>0</v>
      </c>
      <c r="I154" s="628">
        <f t="shared" si="24"/>
        <v>0</v>
      </c>
      <c r="J154" s="504">
        <f t="shared" si="28"/>
        <v>0</v>
      </c>
      <c r="K154" s="504"/>
      <c r="L154" s="512"/>
      <c r="M154" s="504">
        <f t="shared" si="29"/>
        <v>0</v>
      </c>
      <c r="N154" s="512"/>
      <c r="O154" s="504">
        <f t="shared" si="30"/>
        <v>0</v>
      </c>
      <c r="P154" s="504">
        <f t="shared" si="31"/>
        <v>0</v>
      </c>
    </row>
    <row r="155" spans="2:16" ht="13.5" thickBot="1">
      <c r="B155" s="145" t="str">
        <f t="shared" si="14"/>
        <v/>
      </c>
      <c r="C155" s="524">
        <f>IF(D94="","-",+C154+1)</f>
        <v>2073</v>
      </c>
      <c r="D155" s="638">
        <f>IF(F154+SUM(E$100:E154)=D$93,F154,D$93-SUM(E$100:E154))</f>
        <v>0</v>
      </c>
      <c r="E155" s="526">
        <f t="shared" si="21"/>
        <v>0</v>
      </c>
      <c r="F155" s="527">
        <f t="shared" si="22"/>
        <v>0</v>
      </c>
      <c r="G155" s="527">
        <f t="shared" si="23"/>
        <v>0</v>
      </c>
      <c r="H155" s="623">
        <f t="shared" si="15"/>
        <v>0</v>
      </c>
      <c r="I155" s="624">
        <f t="shared" si="24"/>
        <v>0</v>
      </c>
      <c r="J155" s="531">
        <f t="shared" si="28"/>
        <v>0</v>
      </c>
      <c r="K155" s="504"/>
      <c r="L155" s="530"/>
      <c r="M155" s="531">
        <f t="shared" si="29"/>
        <v>0</v>
      </c>
      <c r="N155" s="530"/>
      <c r="O155" s="531">
        <f t="shared" si="30"/>
        <v>0</v>
      </c>
      <c r="P155" s="531">
        <f t="shared" si="31"/>
        <v>0</v>
      </c>
    </row>
    <row r="156" spans="2:16">
      <c r="C156" s="349" t="s">
        <v>75</v>
      </c>
      <c r="D156" s="294"/>
      <c r="E156" s="294">
        <f>SUM(E100:E155)</f>
        <v>8934664</v>
      </c>
      <c r="F156" s="294"/>
      <c r="G156" s="294"/>
      <c r="H156" s="294">
        <f>SUM(H100:H155)</f>
        <v>20146034.314838186</v>
      </c>
      <c r="I156" s="294">
        <f>SUM(I100:I155)</f>
        <v>20146034.314838186</v>
      </c>
      <c r="J156" s="294">
        <f>SUM(J100:J155)</f>
        <v>0</v>
      </c>
      <c r="K156" s="294"/>
      <c r="L156" s="294"/>
      <c r="M156" s="294"/>
      <c r="N156" s="294"/>
      <c r="O156" s="294"/>
      <c r="P156" s="243"/>
    </row>
    <row r="157" spans="2:16">
      <c r="C157" s="145" t="s">
        <v>90</v>
      </c>
      <c r="D157" s="292"/>
      <c r="E157" s="243"/>
      <c r="F157" s="243"/>
      <c r="G157" s="243"/>
      <c r="H157" s="243"/>
      <c r="I157" s="325"/>
      <c r="J157" s="325"/>
      <c r="K157" s="294"/>
      <c r="L157" s="325"/>
      <c r="M157" s="325"/>
      <c r="N157" s="325"/>
      <c r="O157" s="325"/>
      <c r="P157" s="243"/>
    </row>
    <row r="158" spans="2:16">
      <c r="C158" s="574"/>
      <c r="D158" s="292"/>
      <c r="E158" s="243"/>
      <c r="F158" s="243"/>
      <c r="G158" s="243"/>
      <c r="H158" s="243"/>
      <c r="I158" s="325"/>
      <c r="J158" s="325"/>
      <c r="K158" s="294"/>
      <c r="L158" s="325"/>
      <c r="M158" s="325"/>
      <c r="N158" s="325"/>
      <c r="O158" s="325"/>
      <c r="P158" s="243"/>
    </row>
    <row r="159" spans="2:16">
      <c r="C159" s="619" t="s">
        <v>130</v>
      </c>
      <c r="D159" s="292"/>
      <c r="E159" s="243"/>
      <c r="F159" s="243"/>
      <c r="G159" s="243"/>
      <c r="H159" s="243"/>
      <c r="I159" s="325"/>
      <c r="J159" s="325"/>
      <c r="K159" s="294"/>
      <c r="L159" s="325"/>
      <c r="M159" s="325"/>
      <c r="N159" s="325"/>
      <c r="O159" s="325"/>
      <c r="P159" s="243"/>
    </row>
    <row r="160" spans="2:16">
      <c r="C160" s="454" t="s">
        <v>76</v>
      </c>
      <c r="D160" s="349"/>
      <c r="E160" s="349"/>
      <c r="F160" s="349"/>
      <c r="G160" s="349"/>
      <c r="H160" s="294"/>
      <c r="I160" s="294"/>
      <c r="J160" s="350"/>
      <c r="K160" s="350"/>
      <c r="L160" s="350"/>
      <c r="M160" s="350"/>
      <c r="N160" s="350"/>
      <c r="O160" s="350"/>
      <c r="P160" s="243"/>
    </row>
    <row r="161" spans="3:16">
      <c r="C161" s="575" t="s">
        <v>77</v>
      </c>
      <c r="D161" s="349"/>
      <c r="E161" s="349"/>
      <c r="F161" s="349"/>
      <c r="G161" s="349"/>
      <c r="H161" s="294"/>
      <c r="I161" s="294"/>
      <c r="J161" s="350"/>
      <c r="K161" s="350"/>
      <c r="L161" s="350"/>
      <c r="M161" s="350"/>
      <c r="N161" s="350"/>
      <c r="O161" s="350"/>
      <c r="P161" s="243"/>
    </row>
    <row r="162" spans="3:16">
      <c r="C162" s="575"/>
      <c r="D162" s="349"/>
      <c r="E162" s="349"/>
      <c r="F162" s="349"/>
      <c r="G162" s="349"/>
      <c r="H162" s="294"/>
      <c r="I162" s="294"/>
      <c r="J162" s="350"/>
      <c r="K162" s="350"/>
      <c r="L162" s="350"/>
      <c r="M162" s="350"/>
      <c r="N162" s="350"/>
      <c r="O162" s="350"/>
      <c r="P162" s="243"/>
    </row>
    <row r="163" spans="3:16" ht="18">
      <c r="C163" s="575"/>
      <c r="D163" s="349"/>
      <c r="E163" s="349"/>
      <c r="F163" s="349"/>
      <c r="G163" s="349"/>
      <c r="H163" s="294"/>
      <c r="I163" s="294"/>
      <c r="J163" s="350"/>
      <c r="K163" s="350"/>
      <c r="L163" s="350"/>
      <c r="M163" s="350"/>
      <c r="N163" s="350"/>
      <c r="P163" s="583" t="s">
        <v>129</v>
      </c>
    </row>
  </sheetData>
  <conditionalFormatting sqref="C17:C71 C73">
    <cfRule type="cellIs" dxfId="17" priority="2" stopIfTrue="1" operator="equal">
      <formula>$I$10</formula>
    </cfRule>
  </conditionalFormatting>
  <conditionalFormatting sqref="C100:C155">
    <cfRule type="cellIs" dxfId="16" priority="3" stopIfTrue="1" operator="equal">
      <formula>$J$93</formula>
    </cfRule>
  </conditionalFormatting>
  <conditionalFormatting sqref="C72">
    <cfRule type="cellIs" dxfId="15"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zoomScale="80" zoomScaleNormal="80" workbookViewId="0"/>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110" t="s">
        <v>189</v>
      </c>
      <c r="B1" s="1"/>
      <c r="C1" s="9"/>
      <c r="D1" s="2"/>
      <c r="E1" s="1"/>
      <c r="F1" s="14"/>
      <c r="G1" s="1"/>
      <c r="H1" s="3"/>
      <c r="J1" s="7"/>
      <c r="K1" s="18"/>
      <c r="L1" s="18"/>
      <c r="M1" s="18"/>
      <c r="P1" s="116" t="str">
        <f ca="1">"OKT Project "&amp;RIGHT(MID(CELL("filename",$A$1),FIND("]",CELL("filename",$A$1))+1,256),2)&amp;" of "&amp;COUNT('OKT.001:OKT.xyz - blank'!$P$3)-1</f>
        <v>OKT Project 20 of 23</v>
      </c>
    </row>
    <row r="2" spans="1:16" ht="18">
      <c r="B2" s="1"/>
      <c r="C2" s="1"/>
      <c r="D2" s="2"/>
      <c r="E2" s="1"/>
      <c r="F2" s="1"/>
      <c r="G2" s="1"/>
      <c r="H2" s="3"/>
      <c r="I2" s="1"/>
      <c r="J2" s="4"/>
      <c r="K2" s="1"/>
      <c r="L2" s="1"/>
      <c r="M2" s="1"/>
      <c r="N2" s="1"/>
      <c r="P2" s="117" t="s">
        <v>131</v>
      </c>
    </row>
    <row r="3" spans="1:16" ht="18.75">
      <c r="B3" s="5" t="s">
        <v>42</v>
      </c>
      <c r="C3" s="13" t="s">
        <v>43</v>
      </c>
      <c r="D3" s="2"/>
      <c r="E3" s="1"/>
      <c r="F3" s="1"/>
      <c r="G3" s="1"/>
      <c r="H3" s="3"/>
      <c r="I3" s="3"/>
      <c r="J3" s="19"/>
      <c r="K3" s="3"/>
      <c r="L3" s="3"/>
      <c r="M3" s="3"/>
      <c r="N3" s="3"/>
      <c r="O3" s="1"/>
      <c r="P3" s="108">
        <v>1</v>
      </c>
    </row>
    <row r="4" spans="1:16" ht="15.75" thickBot="1">
      <c r="C4" s="12"/>
      <c r="D4" s="2"/>
      <c r="E4" s="1"/>
      <c r="F4" s="1"/>
      <c r="G4" s="1"/>
      <c r="H4" s="3"/>
      <c r="I4" s="3"/>
      <c r="J4" s="19"/>
      <c r="K4" s="3"/>
      <c r="L4" s="3"/>
      <c r="M4" s="3"/>
      <c r="N4" s="3"/>
      <c r="O4" s="1"/>
      <c r="P4" s="1"/>
    </row>
    <row r="5" spans="1:16" ht="15">
      <c r="C5" s="20" t="s">
        <v>44</v>
      </c>
      <c r="D5" s="2"/>
      <c r="E5" s="1"/>
      <c r="F5" s="1"/>
      <c r="G5" s="21"/>
      <c r="H5" s="1" t="s">
        <v>45</v>
      </c>
      <c r="I5" s="1"/>
      <c r="J5" s="4"/>
      <c r="K5" s="22" t="s">
        <v>242</v>
      </c>
      <c r="L5" s="23"/>
      <c r="M5" s="24"/>
      <c r="N5" s="25">
        <f>VLOOKUP(I10,C17:I73,5)</f>
        <v>496616.13885375595</v>
      </c>
      <c r="P5" s="1"/>
    </row>
    <row r="6" spans="1:16" ht="15.75">
      <c r="C6" s="8"/>
      <c r="D6" s="2"/>
      <c r="E6" s="1"/>
      <c r="F6" s="1"/>
      <c r="G6" s="1"/>
      <c r="H6" s="26"/>
      <c r="I6" s="26"/>
      <c r="J6" s="27"/>
      <c r="K6" s="28" t="s">
        <v>243</v>
      </c>
      <c r="L6" s="29"/>
      <c r="M6" s="4"/>
      <c r="N6" s="30">
        <f>VLOOKUP(I10,C17:I73,6)</f>
        <v>496616.13885375595</v>
      </c>
      <c r="O6" s="1"/>
      <c r="P6" s="1"/>
    </row>
    <row r="7" spans="1:16" ht="13.5" thickBot="1">
      <c r="C7" s="31" t="s">
        <v>46</v>
      </c>
      <c r="D7" s="637" t="s">
        <v>289</v>
      </c>
      <c r="E7" s="1"/>
      <c r="F7" s="1"/>
      <c r="G7" s="1"/>
      <c r="H7" s="3"/>
      <c r="I7" s="3"/>
      <c r="J7" s="19"/>
      <c r="K7" s="32" t="s">
        <v>47</v>
      </c>
      <c r="L7" s="33"/>
      <c r="M7" s="33"/>
      <c r="N7" s="34">
        <f>+N6-N5</f>
        <v>0</v>
      </c>
      <c r="O7" s="1"/>
      <c r="P7" s="1"/>
    </row>
    <row r="8" spans="1:16" ht="13.5" thickBot="1">
      <c r="C8" s="35"/>
      <c r="D8" s="114"/>
      <c r="E8" s="36"/>
      <c r="F8" s="36"/>
      <c r="G8" s="36"/>
      <c r="H8" s="36"/>
      <c r="I8" s="36"/>
      <c r="J8" s="15"/>
      <c r="K8" s="36"/>
      <c r="L8" s="36"/>
      <c r="M8" s="36"/>
      <c r="N8" s="36"/>
      <c r="O8" s="15"/>
      <c r="P8" s="9"/>
    </row>
    <row r="9" spans="1:16" ht="13.5" thickBot="1">
      <c r="C9" s="37" t="s">
        <v>48</v>
      </c>
      <c r="D9" s="106" t="s">
        <v>292</v>
      </c>
      <c r="E9" s="647" t="s">
        <v>293</v>
      </c>
      <c r="F9" s="38"/>
      <c r="G9" s="38"/>
      <c r="H9" s="38"/>
      <c r="I9" s="39"/>
      <c r="J9" s="40"/>
      <c r="O9" s="41"/>
      <c r="P9" s="4"/>
    </row>
    <row r="10" spans="1:16">
      <c r="C10" s="42" t="s">
        <v>49</v>
      </c>
      <c r="D10" s="43">
        <v>3608350</v>
      </c>
      <c r="E10" s="11" t="s">
        <v>50</v>
      </c>
      <c r="F10" s="41"/>
      <c r="G10" s="44"/>
      <c r="H10" s="44"/>
      <c r="I10" s="45">
        <f>+OKT.WS.F.BPU.ATRR.Projected!R101</f>
        <v>2022</v>
      </c>
      <c r="J10" s="40"/>
      <c r="K10" s="19" t="s">
        <v>51</v>
      </c>
      <c r="O10" s="4"/>
      <c r="P10" s="4"/>
    </row>
    <row r="11" spans="1:16">
      <c r="C11" s="46" t="s">
        <v>52</v>
      </c>
      <c r="D11" s="47">
        <v>2020</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c r="C12" s="46" t="s">
        <v>54</v>
      </c>
      <c r="D12" s="43">
        <v>6</v>
      </c>
      <c r="E12" s="46" t="s">
        <v>55</v>
      </c>
      <c r="F12" s="44"/>
      <c r="G12" s="7"/>
      <c r="H12" s="7"/>
      <c r="I12" s="50">
        <f>OKT.WS.F.BPU.ATRR.Projected!$F$79</f>
        <v>0.11475877389767174</v>
      </c>
      <c r="J12" s="51"/>
      <c r="K12" t="s">
        <v>56</v>
      </c>
      <c r="O12" s="4"/>
      <c r="P12" s="4"/>
    </row>
    <row r="13" spans="1:16">
      <c r="C13" s="46" t="s">
        <v>57</v>
      </c>
      <c r="D13" s="48">
        <f>+OKT.WS.F.BPU.ATRR.Projected!F$90</f>
        <v>33</v>
      </c>
      <c r="E13" s="46" t="s">
        <v>58</v>
      </c>
      <c r="F13" s="44"/>
      <c r="G13" s="7"/>
      <c r="H13" s="7"/>
      <c r="I13" s="50">
        <f>IF(G5="",I12,OKT.WS.F.BPU.ATRR.Projected!$F$78)</f>
        <v>0.11475877389767174</v>
      </c>
      <c r="J13" s="51"/>
      <c r="K13" s="19" t="s">
        <v>59</v>
      </c>
      <c r="L13" s="10"/>
      <c r="M13" s="10"/>
      <c r="N13" s="10"/>
      <c r="O13" s="4"/>
      <c r="P13" s="4"/>
    </row>
    <row r="14" spans="1:16" ht="13.5" thickBot="1">
      <c r="C14" s="46" t="s">
        <v>60</v>
      </c>
      <c r="D14" s="47" t="s">
        <v>61</v>
      </c>
      <c r="E14" s="4" t="s">
        <v>62</v>
      </c>
      <c r="F14" s="44"/>
      <c r="G14" s="7"/>
      <c r="H14" s="7"/>
      <c r="I14" s="52">
        <f>IF(D10=0,0,D10/D13)</f>
        <v>109343.93939393939</v>
      </c>
      <c r="J14" s="19"/>
      <c r="K14" s="19"/>
      <c r="L14" s="19"/>
      <c r="M14" s="19"/>
      <c r="N14" s="19"/>
      <c r="O14" s="4"/>
      <c r="P14" s="4"/>
    </row>
    <row r="15" spans="1:16" ht="38.25">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c r="B17" t="str">
        <f t="shared" ref="B17:B71" si="0">IF(D17=F16,"","IU")</f>
        <v>IU</v>
      </c>
      <c r="C17" s="62">
        <f>IF(D11= "","-",D11)</f>
        <v>2020</v>
      </c>
      <c r="D17" s="641">
        <v>0</v>
      </c>
      <c r="E17" s="642">
        <v>51872.674102418707</v>
      </c>
      <c r="F17" s="643">
        <v>3491127.3258975814</v>
      </c>
      <c r="G17" s="642">
        <v>235038.97436975082</v>
      </c>
      <c r="H17" s="644">
        <v>235038.97436975082</v>
      </c>
      <c r="I17" s="65">
        <f t="shared" ref="I17:I71" si="1">H17-G17</f>
        <v>0</v>
      </c>
      <c r="J17" s="65"/>
      <c r="K17" s="501">
        <f>+G17</f>
        <v>235038.97436975082</v>
      </c>
      <c r="L17" s="503">
        <f t="shared" ref="L17:L18" si="2">IF(K17&lt;&gt;0,+G17-K17,0)</f>
        <v>0</v>
      </c>
      <c r="M17" s="501">
        <f>+H17</f>
        <v>235038.97436975082</v>
      </c>
      <c r="N17" s="66">
        <f t="shared" ref="N17:N71" si="3">IF(M17&lt;&gt;0,+H17-M17,0)</f>
        <v>0</v>
      </c>
      <c r="O17" s="67">
        <f t="shared" ref="O17:O71" si="4">+N17-L17</f>
        <v>0</v>
      </c>
      <c r="P17" s="4"/>
    </row>
    <row r="18" spans="2:16">
      <c r="B18" t="str">
        <f t="shared" si="0"/>
        <v>IU</v>
      </c>
      <c r="C18" s="62">
        <f>IF(D11="","-",+C17+1)</f>
        <v>2021</v>
      </c>
      <c r="D18" s="614">
        <v>3889537.3258975814</v>
      </c>
      <c r="E18" s="613">
        <v>127142.25806451614</v>
      </c>
      <c r="F18" s="614">
        <v>3762395.0678330651</v>
      </c>
      <c r="G18" s="613">
        <v>541054.66812252079</v>
      </c>
      <c r="H18" s="617">
        <v>541054.66812252079</v>
      </c>
      <c r="I18" s="65">
        <f t="shared" si="1"/>
        <v>0</v>
      </c>
      <c r="J18" s="65"/>
      <c r="K18" s="592">
        <f>+G18</f>
        <v>541054.66812252079</v>
      </c>
      <c r="L18" s="596">
        <f t="shared" si="2"/>
        <v>0</v>
      </c>
      <c r="M18" s="592">
        <f>+H18</f>
        <v>541054.66812252079</v>
      </c>
      <c r="N18" s="67">
        <f t="shared" si="3"/>
        <v>0</v>
      </c>
      <c r="O18" s="67">
        <f t="shared" si="4"/>
        <v>0</v>
      </c>
      <c r="P18" s="4"/>
    </row>
    <row r="19" spans="2:16">
      <c r="B19" t="str">
        <f t="shared" si="0"/>
        <v>IU</v>
      </c>
      <c r="C19" s="62">
        <f>IF(D11="","-",+C18+1)</f>
        <v>2022</v>
      </c>
      <c r="D19" s="71">
        <f>IF(F18+SUM(E$17:E18)=D$10,F18,D$10-SUM(E$17:E18))</f>
        <v>3429335.0678330651</v>
      </c>
      <c r="E19" s="69">
        <f t="shared" ref="E19:E71" si="5">IF(+I$14&lt;F18,I$14,D19)</f>
        <v>109343.93939393939</v>
      </c>
      <c r="F19" s="68">
        <f t="shared" ref="F19:F71" si="6">+D19-E19</f>
        <v>3319991.1284391256</v>
      </c>
      <c r="G19" s="70">
        <f t="shared" ref="G19:G71" si="7">(D19+F19)/2*I$12+E19</f>
        <v>496616.13885375595</v>
      </c>
      <c r="H19" s="52">
        <f t="shared" ref="H19:H71" si="8">+(D19+F19)/2*I$13+E19</f>
        <v>496616.13885375595</v>
      </c>
      <c r="I19" s="65">
        <f t="shared" si="1"/>
        <v>0</v>
      </c>
      <c r="J19" s="65"/>
      <c r="K19" s="130"/>
      <c r="L19" s="67">
        <f t="shared" ref="L19:L71" si="9">IF(K19&lt;&gt;0,+G19-K19,0)</f>
        <v>0</v>
      </c>
      <c r="M19" s="130"/>
      <c r="N19" s="67">
        <f t="shared" si="3"/>
        <v>0</v>
      </c>
      <c r="O19" s="67">
        <f t="shared" si="4"/>
        <v>0</v>
      </c>
      <c r="P19" s="4"/>
    </row>
    <row r="20" spans="2:16">
      <c r="B20" t="str">
        <f t="shared" si="0"/>
        <v/>
      </c>
      <c r="C20" s="62">
        <f>IF(D11="","-",+C19+1)</f>
        <v>2023</v>
      </c>
      <c r="D20" s="71">
        <f>IF(F19+SUM(E$17:E19)=D$10,F19,D$10-SUM(E$17:E19))</f>
        <v>3319991.1284391256</v>
      </c>
      <c r="E20" s="69">
        <f t="shared" si="5"/>
        <v>109343.93939393939</v>
      </c>
      <c r="F20" s="68">
        <f t="shared" si="6"/>
        <v>3210647.1890451862</v>
      </c>
      <c r="G20" s="70">
        <f t="shared" si="7"/>
        <v>484067.96243576612</v>
      </c>
      <c r="H20" s="52">
        <f t="shared" si="8"/>
        <v>484067.96243576612</v>
      </c>
      <c r="I20" s="65">
        <f t="shared" si="1"/>
        <v>0</v>
      </c>
      <c r="J20" s="65"/>
      <c r="K20" s="130"/>
      <c r="L20" s="67">
        <f t="shared" si="9"/>
        <v>0</v>
      </c>
      <c r="M20" s="130"/>
      <c r="N20" s="67">
        <f t="shared" si="3"/>
        <v>0</v>
      </c>
      <c r="O20" s="67">
        <f t="shared" si="4"/>
        <v>0</v>
      </c>
      <c r="P20" s="4"/>
    </row>
    <row r="21" spans="2:16">
      <c r="B21" t="str">
        <f t="shared" si="0"/>
        <v/>
      </c>
      <c r="C21" s="62">
        <f>IF(D11="","-",+C20+1)</f>
        <v>2024</v>
      </c>
      <c r="D21" s="71">
        <f>IF(F20+SUM(E$17:E20)=D$10,F20,D$10-SUM(E$17:E20))</f>
        <v>3210647.1890451862</v>
      </c>
      <c r="E21" s="69">
        <f t="shared" si="5"/>
        <v>109343.93939393939</v>
      </c>
      <c r="F21" s="68">
        <f t="shared" si="6"/>
        <v>3101303.2496512467</v>
      </c>
      <c r="G21" s="70">
        <f t="shared" si="7"/>
        <v>471519.78601777635</v>
      </c>
      <c r="H21" s="52">
        <f t="shared" si="8"/>
        <v>471519.78601777635</v>
      </c>
      <c r="I21" s="65">
        <f t="shared" si="1"/>
        <v>0</v>
      </c>
      <c r="J21" s="65"/>
      <c r="K21" s="130"/>
      <c r="L21" s="67">
        <f t="shared" si="9"/>
        <v>0</v>
      </c>
      <c r="M21" s="130"/>
      <c r="N21" s="67">
        <f t="shared" si="3"/>
        <v>0</v>
      </c>
      <c r="O21" s="67">
        <f t="shared" si="4"/>
        <v>0</v>
      </c>
      <c r="P21" s="4"/>
    </row>
    <row r="22" spans="2:16">
      <c r="B22" t="str">
        <f t="shared" si="0"/>
        <v/>
      </c>
      <c r="C22" s="62">
        <f>IF(D11="","-",+C21+1)</f>
        <v>2025</v>
      </c>
      <c r="D22" s="71">
        <f>IF(F21+SUM(E$17:E21)=D$10,F21,D$10-SUM(E$17:E21))</f>
        <v>3101303.2496512467</v>
      </c>
      <c r="E22" s="69">
        <f t="shared" si="5"/>
        <v>109343.93939393939</v>
      </c>
      <c r="F22" s="68">
        <f t="shared" si="6"/>
        <v>2991959.3102573073</v>
      </c>
      <c r="G22" s="70">
        <f t="shared" si="7"/>
        <v>458971.60959978652</v>
      </c>
      <c r="H22" s="52">
        <f t="shared" si="8"/>
        <v>458971.60959978652</v>
      </c>
      <c r="I22" s="65">
        <f t="shared" si="1"/>
        <v>0</v>
      </c>
      <c r="J22" s="65"/>
      <c r="K22" s="130"/>
      <c r="L22" s="67">
        <f t="shared" si="9"/>
        <v>0</v>
      </c>
      <c r="M22" s="130"/>
      <c r="N22" s="67">
        <f t="shared" si="3"/>
        <v>0</v>
      </c>
      <c r="O22" s="67">
        <f t="shared" si="4"/>
        <v>0</v>
      </c>
      <c r="P22" s="4"/>
    </row>
    <row r="23" spans="2:16">
      <c r="B23" t="str">
        <f t="shared" si="0"/>
        <v/>
      </c>
      <c r="C23" s="62">
        <f>IF(D11="","-",+C22+1)</f>
        <v>2026</v>
      </c>
      <c r="D23" s="71">
        <f>IF(F22+SUM(E$17:E22)=D$10,F22,D$10-SUM(E$17:E22))</f>
        <v>2991959.3102573073</v>
      </c>
      <c r="E23" s="69">
        <f t="shared" si="5"/>
        <v>109343.93939393939</v>
      </c>
      <c r="F23" s="68">
        <f t="shared" si="6"/>
        <v>2882615.3708633678</v>
      </c>
      <c r="G23" s="70">
        <f t="shared" si="7"/>
        <v>446423.43318179669</v>
      </c>
      <c r="H23" s="52">
        <f t="shared" si="8"/>
        <v>446423.43318179669</v>
      </c>
      <c r="I23" s="65">
        <f t="shared" si="1"/>
        <v>0</v>
      </c>
      <c r="J23" s="65"/>
      <c r="K23" s="130"/>
      <c r="L23" s="67">
        <f t="shared" si="9"/>
        <v>0</v>
      </c>
      <c r="M23" s="130"/>
      <c r="N23" s="67">
        <f t="shared" si="3"/>
        <v>0</v>
      </c>
      <c r="O23" s="67">
        <f t="shared" si="4"/>
        <v>0</v>
      </c>
      <c r="P23" s="4"/>
    </row>
    <row r="24" spans="2:16">
      <c r="B24" t="str">
        <f t="shared" si="0"/>
        <v/>
      </c>
      <c r="C24" s="62">
        <f>IF(D11="","-",+C23+1)</f>
        <v>2027</v>
      </c>
      <c r="D24" s="71">
        <f>IF(F23+SUM(E$17:E23)=D$10,F23,D$10-SUM(E$17:E23))</f>
        <v>2882615.3708633678</v>
      </c>
      <c r="E24" s="69">
        <f t="shared" si="5"/>
        <v>109343.93939393939</v>
      </c>
      <c r="F24" s="68">
        <f t="shared" si="6"/>
        <v>2773271.4314694284</v>
      </c>
      <c r="G24" s="70">
        <f t="shared" si="7"/>
        <v>433875.25676380686</v>
      </c>
      <c r="H24" s="52">
        <f t="shared" si="8"/>
        <v>433875.25676380686</v>
      </c>
      <c r="I24" s="65">
        <f t="shared" si="1"/>
        <v>0</v>
      </c>
      <c r="J24" s="65"/>
      <c r="K24" s="130"/>
      <c r="L24" s="67">
        <f t="shared" si="9"/>
        <v>0</v>
      </c>
      <c r="M24" s="130"/>
      <c r="N24" s="67">
        <f t="shared" si="3"/>
        <v>0</v>
      </c>
      <c r="O24" s="67">
        <f t="shared" si="4"/>
        <v>0</v>
      </c>
      <c r="P24" s="4"/>
    </row>
    <row r="25" spans="2:16">
      <c r="B25" t="str">
        <f t="shared" si="0"/>
        <v/>
      </c>
      <c r="C25" s="62">
        <f>IF(D11="","-",+C24+1)</f>
        <v>2028</v>
      </c>
      <c r="D25" s="71">
        <f>IF(F24+SUM(E$17:E24)=D$10,F24,D$10-SUM(E$17:E24))</f>
        <v>2773271.4314694284</v>
      </c>
      <c r="E25" s="69">
        <f t="shared" si="5"/>
        <v>109343.93939393939</v>
      </c>
      <c r="F25" s="68">
        <f t="shared" si="6"/>
        <v>2663927.4920754889</v>
      </c>
      <c r="G25" s="70">
        <f t="shared" si="7"/>
        <v>421327.08034581703</v>
      </c>
      <c r="H25" s="52">
        <f t="shared" si="8"/>
        <v>421327.08034581703</v>
      </c>
      <c r="I25" s="65">
        <f t="shared" si="1"/>
        <v>0</v>
      </c>
      <c r="J25" s="65"/>
      <c r="K25" s="130"/>
      <c r="L25" s="67">
        <f t="shared" si="9"/>
        <v>0</v>
      </c>
      <c r="M25" s="130"/>
      <c r="N25" s="67">
        <f t="shared" si="3"/>
        <v>0</v>
      </c>
      <c r="O25" s="67">
        <f t="shared" si="4"/>
        <v>0</v>
      </c>
      <c r="P25" s="4"/>
    </row>
    <row r="26" spans="2:16">
      <c r="B26" t="str">
        <f t="shared" si="0"/>
        <v/>
      </c>
      <c r="C26" s="62">
        <f>IF(D11="","-",+C25+1)</f>
        <v>2029</v>
      </c>
      <c r="D26" s="71">
        <f>IF(F25+SUM(E$17:E25)=D$10,F25,D$10-SUM(E$17:E25))</f>
        <v>2663927.4920754889</v>
      </c>
      <c r="E26" s="69">
        <f t="shared" si="5"/>
        <v>109343.93939393939</v>
      </c>
      <c r="F26" s="68">
        <f t="shared" si="6"/>
        <v>2554583.5526815495</v>
      </c>
      <c r="G26" s="70">
        <f t="shared" si="7"/>
        <v>408778.90392782725</v>
      </c>
      <c r="H26" s="52">
        <f t="shared" si="8"/>
        <v>408778.90392782725</v>
      </c>
      <c r="I26" s="65">
        <f t="shared" si="1"/>
        <v>0</v>
      </c>
      <c r="J26" s="65"/>
      <c r="K26" s="130"/>
      <c r="L26" s="67">
        <f t="shared" si="9"/>
        <v>0</v>
      </c>
      <c r="M26" s="130"/>
      <c r="N26" s="67">
        <f t="shared" si="3"/>
        <v>0</v>
      </c>
      <c r="O26" s="67">
        <f t="shared" si="4"/>
        <v>0</v>
      </c>
      <c r="P26" s="4"/>
    </row>
    <row r="27" spans="2:16">
      <c r="B27" t="str">
        <f t="shared" si="0"/>
        <v/>
      </c>
      <c r="C27" s="62">
        <f>IF(D11="","-",+C26+1)</f>
        <v>2030</v>
      </c>
      <c r="D27" s="71">
        <f>IF(F26+SUM(E$17:E26)=D$10,F26,D$10-SUM(E$17:E26))</f>
        <v>2554583.5526815495</v>
      </c>
      <c r="E27" s="69">
        <f t="shared" si="5"/>
        <v>109343.93939393939</v>
      </c>
      <c r="F27" s="68">
        <f t="shared" si="6"/>
        <v>2445239.61328761</v>
      </c>
      <c r="G27" s="70">
        <f t="shared" si="7"/>
        <v>396230.72750983742</v>
      </c>
      <c r="H27" s="52">
        <f t="shared" si="8"/>
        <v>396230.72750983742</v>
      </c>
      <c r="I27" s="65">
        <f t="shared" si="1"/>
        <v>0</v>
      </c>
      <c r="J27" s="65"/>
      <c r="K27" s="130"/>
      <c r="L27" s="67">
        <f t="shared" si="9"/>
        <v>0</v>
      </c>
      <c r="M27" s="130"/>
      <c r="N27" s="67">
        <f t="shared" si="3"/>
        <v>0</v>
      </c>
      <c r="O27" s="67">
        <f t="shared" si="4"/>
        <v>0</v>
      </c>
      <c r="P27" s="4"/>
    </row>
    <row r="28" spans="2:16">
      <c r="B28" t="str">
        <f t="shared" si="0"/>
        <v/>
      </c>
      <c r="C28" s="62">
        <f>IF(D11="","-",+C27+1)</f>
        <v>2031</v>
      </c>
      <c r="D28" s="71">
        <f>IF(F27+SUM(E$17:E27)=D$10,F27,D$10-SUM(E$17:E27))</f>
        <v>2445239.61328761</v>
      </c>
      <c r="E28" s="69">
        <f t="shared" si="5"/>
        <v>109343.93939393939</v>
      </c>
      <c r="F28" s="68">
        <f t="shared" si="6"/>
        <v>2335895.6738936706</v>
      </c>
      <c r="G28" s="70">
        <f t="shared" si="7"/>
        <v>383682.55109184759</v>
      </c>
      <c r="H28" s="52">
        <f t="shared" si="8"/>
        <v>383682.55109184759</v>
      </c>
      <c r="I28" s="65">
        <f t="shared" si="1"/>
        <v>0</v>
      </c>
      <c r="J28" s="65"/>
      <c r="K28" s="130"/>
      <c r="L28" s="67">
        <f t="shared" si="9"/>
        <v>0</v>
      </c>
      <c r="M28" s="130"/>
      <c r="N28" s="67">
        <f t="shared" si="3"/>
        <v>0</v>
      </c>
      <c r="O28" s="67">
        <f t="shared" si="4"/>
        <v>0</v>
      </c>
      <c r="P28" s="4"/>
    </row>
    <row r="29" spans="2:16">
      <c r="B29" t="str">
        <f t="shared" si="0"/>
        <v/>
      </c>
      <c r="C29" s="62">
        <f>IF(D11="","-",+C28+1)</f>
        <v>2032</v>
      </c>
      <c r="D29" s="71">
        <f>IF(F28+SUM(E$17:E28)=D$10,F28,D$10-SUM(E$17:E28))</f>
        <v>2335895.6738936706</v>
      </c>
      <c r="E29" s="69">
        <f t="shared" si="5"/>
        <v>109343.93939393939</v>
      </c>
      <c r="F29" s="68">
        <f t="shared" si="6"/>
        <v>2226551.7344997311</v>
      </c>
      <c r="G29" s="70">
        <f t="shared" si="7"/>
        <v>371134.37467385776</v>
      </c>
      <c r="H29" s="52">
        <f t="shared" si="8"/>
        <v>371134.37467385776</v>
      </c>
      <c r="I29" s="65">
        <f t="shared" si="1"/>
        <v>0</v>
      </c>
      <c r="J29" s="65"/>
      <c r="K29" s="130"/>
      <c r="L29" s="67">
        <f t="shared" si="9"/>
        <v>0</v>
      </c>
      <c r="M29" s="130"/>
      <c r="N29" s="67">
        <f t="shared" si="3"/>
        <v>0</v>
      </c>
      <c r="O29" s="67">
        <f t="shared" si="4"/>
        <v>0</v>
      </c>
      <c r="P29" s="4"/>
    </row>
    <row r="30" spans="2:16">
      <c r="B30" t="str">
        <f t="shared" si="0"/>
        <v/>
      </c>
      <c r="C30" s="62">
        <f>IF(D11="","-",+C29+1)</f>
        <v>2033</v>
      </c>
      <c r="D30" s="71">
        <f>IF(F29+SUM(E$17:E29)=D$10,F29,D$10-SUM(E$17:E29))</f>
        <v>2226551.7344997311</v>
      </c>
      <c r="E30" s="69">
        <f t="shared" si="5"/>
        <v>109343.93939393939</v>
      </c>
      <c r="F30" s="68">
        <f t="shared" si="6"/>
        <v>2117207.7951057917</v>
      </c>
      <c r="G30" s="70">
        <f t="shared" si="7"/>
        <v>358586.19825586793</v>
      </c>
      <c r="H30" s="52">
        <f t="shared" si="8"/>
        <v>358586.19825586793</v>
      </c>
      <c r="I30" s="65">
        <f t="shared" si="1"/>
        <v>0</v>
      </c>
      <c r="J30" s="65"/>
      <c r="K30" s="130"/>
      <c r="L30" s="67">
        <f t="shared" si="9"/>
        <v>0</v>
      </c>
      <c r="M30" s="130"/>
      <c r="N30" s="67">
        <f t="shared" si="3"/>
        <v>0</v>
      </c>
      <c r="O30" s="67">
        <f t="shared" si="4"/>
        <v>0</v>
      </c>
      <c r="P30" s="4"/>
    </row>
    <row r="31" spans="2:16">
      <c r="B31" t="str">
        <f t="shared" si="0"/>
        <v/>
      </c>
      <c r="C31" s="62">
        <f>IF(D11="","-",+C30+1)</f>
        <v>2034</v>
      </c>
      <c r="D31" s="71">
        <f>IF(F30+SUM(E$17:E30)=D$10,F30,D$10-SUM(E$17:E30))</f>
        <v>2117207.7951057917</v>
      </c>
      <c r="E31" s="69">
        <f t="shared" si="5"/>
        <v>109343.93939393939</v>
      </c>
      <c r="F31" s="68">
        <f t="shared" si="6"/>
        <v>2007863.8557118522</v>
      </c>
      <c r="G31" s="70">
        <f t="shared" si="7"/>
        <v>346038.02183787816</v>
      </c>
      <c r="H31" s="52">
        <f t="shared" si="8"/>
        <v>346038.02183787816</v>
      </c>
      <c r="I31" s="65">
        <f t="shared" si="1"/>
        <v>0</v>
      </c>
      <c r="J31" s="65"/>
      <c r="K31" s="130"/>
      <c r="L31" s="67">
        <f t="shared" si="9"/>
        <v>0</v>
      </c>
      <c r="M31" s="130"/>
      <c r="N31" s="67">
        <f t="shared" si="3"/>
        <v>0</v>
      </c>
      <c r="O31" s="67">
        <f t="shared" si="4"/>
        <v>0</v>
      </c>
      <c r="P31" s="4"/>
    </row>
    <row r="32" spans="2:16">
      <c r="B32" t="str">
        <f t="shared" si="0"/>
        <v/>
      </c>
      <c r="C32" s="62">
        <f>IF(D11="","-",+C31+1)</f>
        <v>2035</v>
      </c>
      <c r="D32" s="71">
        <f>IF(F31+SUM(E$17:E31)=D$10,F31,D$10-SUM(E$17:E31))</f>
        <v>2007863.8557118522</v>
      </c>
      <c r="E32" s="69">
        <f t="shared" si="5"/>
        <v>109343.93939393939</v>
      </c>
      <c r="F32" s="68">
        <f t="shared" si="6"/>
        <v>1898519.9163179127</v>
      </c>
      <c r="G32" s="70">
        <f t="shared" si="7"/>
        <v>333489.84541988833</v>
      </c>
      <c r="H32" s="52">
        <f t="shared" si="8"/>
        <v>333489.84541988833</v>
      </c>
      <c r="I32" s="65">
        <f t="shared" si="1"/>
        <v>0</v>
      </c>
      <c r="J32" s="65"/>
      <c r="K32" s="130"/>
      <c r="L32" s="67">
        <f t="shared" si="9"/>
        <v>0</v>
      </c>
      <c r="M32" s="130"/>
      <c r="N32" s="67">
        <f t="shared" si="3"/>
        <v>0</v>
      </c>
      <c r="O32" s="67">
        <f t="shared" si="4"/>
        <v>0</v>
      </c>
      <c r="P32" s="4"/>
    </row>
    <row r="33" spans="2:16">
      <c r="B33" t="str">
        <f t="shared" si="0"/>
        <v/>
      </c>
      <c r="C33" s="62">
        <f>IF(D11="","-",+C32+1)</f>
        <v>2036</v>
      </c>
      <c r="D33" s="71">
        <f>IF(F32+SUM(E$17:E32)=D$10,F32,D$10-SUM(E$17:E32))</f>
        <v>1898519.9163179127</v>
      </c>
      <c r="E33" s="69">
        <f t="shared" si="5"/>
        <v>109343.93939393939</v>
      </c>
      <c r="F33" s="68">
        <f t="shared" si="6"/>
        <v>1789175.9769239733</v>
      </c>
      <c r="G33" s="70">
        <f t="shared" si="7"/>
        <v>320941.6690018985</v>
      </c>
      <c r="H33" s="52">
        <f t="shared" si="8"/>
        <v>320941.6690018985</v>
      </c>
      <c r="I33" s="65">
        <f t="shared" si="1"/>
        <v>0</v>
      </c>
      <c r="J33" s="65"/>
      <c r="K33" s="130"/>
      <c r="L33" s="67">
        <f t="shared" si="9"/>
        <v>0</v>
      </c>
      <c r="M33" s="130"/>
      <c r="N33" s="67">
        <f t="shared" si="3"/>
        <v>0</v>
      </c>
      <c r="O33" s="67">
        <f t="shared" si="4"/>
        <v>0</v>
      </c>
      <c r="P33" s="4"/>
    </row>
    <row r="34" spans="2:16">
      <c r="B34" t="str">
        <f t="shared" si="0"/>
        <v/>
      </c>
      <c r="C34" s="62">
        <f>IF(D11="","-",+C33+1)</f>
        <v>2037</v>
      </c>
      <c r="D34" s="71">
        <f>IF(F33+SUM(E$17:E33)=D$10,F33,D$10-SUM(E$17:E33))</f>
        <v>1789175.9769239733</v>
      </c>
      <c r="E34" s="69">
        <f t="shared" si="5"/>
        <v>109343.93939393939</v>
      </c>
      <c r="F34" s="68">
        <f t="shared" si="6"/>
        <v>1679832.0375300338</v>
      </c>
      <c r="G34" s="70">
        <f t="shared" si="7"/>
        <v>308393.49258390872</v>
      </c>
      <c r="H34" s="52">
        <f t="shared" si="8"/>
        <v>308393.49258390872</v>
      </c>
      <c r="I34" s="65">
        <f t="shared" si="1"/>
        <v>0</v>
      </c>
      <c r="J34" s="65"/>
      <c r="K34" s="130"/>
      <c r="L34" s="67">
        <f t="shared" si="9"/>
        <v>0</v>
      </c>
      <c r="M34" s="130"/>
      <c r="N34" s="67">
        <f t="shared" si="3"/>
        <v>0</v>
      </c>
      <c r="O34" s="67">
        <f t="shared" si="4"/>
        <v>0</v>
      </c>
      <c r="P34" s="4"/>
    </row>
    <row r="35" spans="2:16">
      <c r="B35" t="str">
        <f t="shared" si="0"/>
        <v/>
      </c>
      <c r="C35" s="62">
        <f>IF(D11="","-",+C34+1)</f>
        <v>2038</v>
      </c>
      <c r="D35" s="71">
        <f>IF(F34+SUM(E$17:E34)=D$10,F34,D$10-SUM(E$17:E34))</f>
        <v>1679832.0375300338</v>
      </c>
      <c r="E35" s="69">
        <f t="shared" si="5"/>
        <v>109343.93939393939</v>
      </c>
      <c r="F35" s="68">
        <f t="shared" si="6"/>
        <v>1570488.0981360944</v>
      </c>
      <c r="G35" s="70">
        <f t="shared" si="7"/>
        <v>295845.31616591883</v>
      </c>
      <c r="H35" s="52">
        <f t="shared" si="8"/>
        <v>295845.31616591883</v>
      </c>
      <c r="I35" s="65">
        <f t="shared" si="1"/>
        <v>0</v>
      </c>
      <c r="J35" s="65"/>
      <c r="K35" s="130"/>
      <c r="L35" s="67">
        <f t="shared" si="9"/>
        <v>0</v>
      </c>
      <c r="M35" s="130"/>
      <c r="N35" s="67">
        <f t="shared" si="3"/>
        <v>0</v>
      </c>
      <c r="O35" s="67">
        <f t="shared" si="4"/>
        <v>0</v>
      </c>
      <c r="P35" s="4"/>
    </row>
    <row r="36" spans="2:16">
      <c r="B36" t="str">
        <f t="shared" si="0"/>
        <v/>
      </c>
      <c r="C36" s="62">
        <f>IF(D11="","-",+C35+1)</f>
        <v>2039</v>
      </c>
      <c r="D36" s="71">
        <f>IF(F35+SUM(E$17:E35)=D$10,F35,D$10-SUM(E$17:E35))</f>
        <v>1570488.0981360944</v>
      </c>
      <c r="E36" s="69">
        <f t="shared" si="5"/>
        <v>109343.93939393939</v>
      </c>
      <c r="F36" s="68">
        <f t="shared" si="6"/>
        <v>1461144.1587421549</v>
      </c>
      <c r="G36" s="70">
        <f t="shared" si="7"/>
        <v>283297.13974792906</v>
      </c>
      <c r="H36" s="52">
        <f t="shared" si="8"/>
        <v>283297.13974792906</v>
      </c>
      <c r="I36" s="65">
        <f t="shared" si="1"/>
        <v>0</v>
      </c>
      <c r="J36" s="65"/>
      <c r="K36" s="130"/>
      <c r="L36" s="67">
        <f t="shared" si="9"/>
        <v>0</v>
      </c>
      <c r="M36" s="130"/>
      <c r="N36" s="67">
        <f t="shared" si="3"/>
        <v>0</v>
      </c>
      <c r="O36" s="67">
        <f t="shared" si="4"/>
        <v>0</v>
      </c>
      <c r="P36" s="4"/>
    </row>
    <row r="37" spans="2:16">
      <c r="B37" t="str">
        <f t="shared" si="0"/>
        <v/>
      </c>
      <c r="C37" s="62">
        <f>IF(D11="","-",+C36+1)</f>
        <v>2040</v>
      </c>
      <c r="D37" s="71">
        <f>IF(F36+SUM(E$17:E36)=D$10,F36,D$10-SUM(E$17:E36))</f>
        <v>1461144.1587421549</v>
      </c>
      <c r="E37" s="69">
        <f t="shared" si="5"/>
        <v>109343.93939393939</v>
      </c>
      <c r="F37" s="68">
        <f t="shared" si="6"/>
        <v>1351800.2193482155</v>
      </c>
      <c r="G37" s="70">
        <f t="shared" si="7"/>
        <v>270748.96332993923</v>
      </c>
      <c r="H37" s="52">
        <f t="shared" si="8"/>
        <v>270748.96332993923</v>
      </c>
      <c r="I37" s="65">
        <f t="shared" si="1"/>
        <v>0</v>
      </c>
      <c r="J37" s="65"/>
      <c r="K37" s="130"/>
      <c r="L37" s="67">
        <f t="shared" si="9"/>
        <v>0</v>
      </c>
      <c r="M37" s="130"/>
      <c r="N37" s="67">
        <f t="shared" si="3"/>
        <v>0</v>
      </c>
      <c r="O37" s="67">
        <f t="shared" si="4"/>
        <v>0</v>
      </c>
      <c r="P37" s="4"/>
    </row>
    <row r="38" spans="2:16">
      <c r="B38" t="str">
        <f t="shared" si="0"/>
        <v/>
      </c>
      <c r="C38" s="62">
        <f>IF(D11="","-",+C37+1)</f>
        <v>2041</v>
      </c>
      <c r="D38" s="71">
        <f>IF(F37+SUM(E$17:E37)=D$10,F37,D$10-SUM(E$17:E37))</f>
        <v>1351800.2193482155</v>
      </c>
      <c r="E38" s="69">
        <f t="shared" si="5"/>
        <v>109343.93939393939</v>
      </c>
      <c r="F38" s="68">
        <f t="shared" si="6"/>
        <v>1242456.279954276</v>
      </c>
      <c r="G38" s="70">
        <f t="shared" si="7"/>
        <v>258200.7869119494</v>
      </c>
      <c r="H38" s="52">
        <f t="shared" si="8"/>
        <v>258200.7869119494</v>
      </c>
      <c r="I38" s="65">
        <f t="shared" si="1"/>
        <v>0</v>
      </c>
      <c r="J38" s="65"/>
      <c r="K38" s="130"/>
      <c r="L38" s="67">
        <f t="shared" si="9"/>
        <v>0</v>
      </c>
      <c r="M38" s="130"/>
      <c r="N38" s="67">
        <f t="shared" si="3"/>
        <v>0</v>
      </c>
      <c r="O38" s="67">
        <f t="shared" si="4"/>
        <v>0</v>
      </c>
      <c r="P38" s="4"/>
    </row>
    <row r="39" spans="2:16">
      <c r="B39" t="str">
        <f t="shared" si="0"/>
        <v/>
      </c>
      <c r="C39" s="62">
        <f>IF(D11="","-",+C38+1)</f>
        <v>2042</v>
      </c>
      <c r="D39" s="71">
        <f>IF(F38+SUM(E$17:E38)=D$10,F38,D$10-SUM(E$17:E38))</f>
        <v>1242456.279954276</v>
      </c>
      <c r="E39" s="69">
        <f t="shared" si="5"/>
        <v>109343.93939393939</v>
      </c>
      <c r="F39" s="68">
        <f t="shared" si="6"/>
        <v>1133112.3405603366</v>
      </c>
      <c r="G39" s="70">
        <f t="shared" si="7"/>
        <v>245652.6104939596</v>
      </c>
      <c r="H39" s="52">
        <f t="shared" si="8"/>
        <v>245652.6104939596</v>
      </c>
      <c r="I39" s="65">
        <f t="shared" si="1"/>
        <v>0</v>
      </c>
      <c r="J39" s="65"/>
      <c r="K39" s="130"/>
      <c r="L39" s="67">
        <f t="shared" si="9"/>
        <v>0</v>
      </c>
      <c r="M39" s="130"/>
      <c r="N39" s="67">
        <f t="shared" si="3"/>
        <v>0</v>
      </c>
      <c r="O39" s="67">
        <f t="shared" si="4"/>
        <v>0</v>
      </c>
      <c r="P39" s="4"/>
    </row>
    <row r="40" spans="2:16">
      <c r="B40" t="str">
        <f t="shared" si="0"/>
        <v/>
      </c>
      <c r="C40" s="62">
        <f>IF(D11="","-",+C39+1)</f>
        <v>2043</v>
      </c>
      <c r="D40" s="71">
        <f>IF(F39+SUM(E$17:E39)=D$10,F39,D$10-SUM(E$17:E39))</f>
        <v>1133112.3405603366</v>
      </c>
      <c r="E40" s="69">
        <f t="shared" si="5"/>
        <v>109343.93939393939</v>
      </c>
      <c r="F40" s="68">
        <f t="shared" si="6"/>
        <v>1023768.4011663971</v>
      </c>
      <c r="G40" s="70">
        <f t="shared" si="7"/>
        <v>233104.43407596977</v>
      </c>
      <c r="H40" s="52">
        <f t="shared" si="8"/>
        <v>233104.43407596977</v>
      </c>
      <c r="I40" s="65">
        <f t="shared" si="1"/>
        <v>0</v>
      </c>
      <c r="J40" s="65"/>
      <c r="K40" s="130"/>
      <c r="L40" s="67">
        <f t="shared" si="9"/>
        <v>0</v>
      </c>
      <c r="M40" s="130"/>
      <c r="N40" s="67">
        <f t="shared" si="3"/>
        <v>0</v>
      </c>
      <c r="O40" s="67">
        <f t="shared" si="4"/>
        <v>0</v>
      </c>
      <c r="P40" s="4"/>
    </row>
    <row r="41" spans="2:16">
      <c r="B41" t="str">
        <f t="shared" si="0"/>
        <v/>
      </c>
      <c r="C41" s="62">
        <f>IF(D11="","-",+C40+1)</f>
        <v>2044</v>
      </c>
      <c r="D41" s="71">
        <f>IF(F40+SUM(E$17:E40)=D$10,F40,D$10-SUM(E$17:E40))</f>
        <v>1023768.4011663971</v>
      </c>
      <c r="E41" s="69">
        <f t="shared" si="5"/>
        <v>109343.93939393939</v>
      </c>
      <c r="F41" s="68">
        <f t="shared" si="6"/>
        <v>914424.4617724577</v>
      </c>
      <c r="G41" s="70">
        <f t="shared" si="7"/>
        <v>220556.25765797996</v>
      </c>
      <c r="H41" s="52">
        <f t="shared" si="8"/>
        <v>220556.25765797996</v>
      </c>
      <c r="I41" s="65">
        <f t="shared" si="1"/>
        <v>0</v>
      </c>
      <c r="J41" s="65"/>
      <c r="K41" s="130"/>
      <c r="L41" s="67">
        <f t="shared" si="9"/>
        <v>0</v>
      </c>
      <c r="M41" s="130"/>
      <c r="N41" s="67">
        <f t="shared" si="3"/>
        <v>0</v>
      </c>
      <c r="O41" s="67">
        <f t="shared" si="4"/>
        <v>0</v>
      </c>
      <c r="P41" s="4"/>
    </row>
    <row r="42" spans="2:16">
      <c r="B42" t="str">
        <f t="shared" si="0"/>
        <v/>
      </c>
      <c r="C42" s="62">
        <f>IF(D11="","-",+C41+1)</f>
        <v>2045</v>
      </c>
      <c r="D42" s="71">
        <f>IF(F41+SUM(E$17:E41)=D$10,F41,D$10-SUM(E$17:E41))</f>
        <v>914424.4617724577</v>
      </c>
      <c r="E42" s="69">
        <f t="shared" si="5"/>
        <v>109343.93939393939</v>
      </c>
      <c r="F42" s="68">
        <f t="shared" si="6"/>
        <v>805080.52237851825</v>
      </c>
      <c r="G42" s="70">
        <f t="shared" si="7"/>
        <v>208008.08123999013</v>
      </c>
      <c r="H42" s="52">
        <f t="shared" si="8"/>
        <v>208008.08123999013</v>
      </c>
      <c r="I42" s="65">
        <f t="shared" si="1"/>
        <v>0</v>
      </c>
      <c r="J42" s="65"/>
      <c r="K42" s="130"/>
      <c r="L42" s="67">
        <f t="shared" si="9"/>
        <v>0</v>
      </c>
      <c r="M42" s="130"/>
      <c r="N42" s="67">
        <f t="shared" si="3"/>
        <v>0</v>
      </c>
      <c r="O42" s="67">
        <f t="shared" si="4"/>
        <v>0</v>
      </c>
      <c r="P42" s="4"/>
    </row>
    <row r="43" spans="2:16">
      <c r="B43" t="str">
        <f t="shared" si="0"/>
        <v/>
      </c>
      <c r="C43" s="62">
        <f>IF(D11="","-",+C42+1)</f>
        <v>2046</v>
      </c>
      <c r="D43" s="71">
        <f>IF(F42+SUM(E$17:E42)=D$10,F42,D$10-SUM(E$17:E42))</f>
        <v>805080.52237851825</v>
      </c>
      <c r="E43" s="69">
        <f t="shared" si="5"/>
        <v>109343.93939393939</v>
      </c>
      <c r="F43" s="68">
        <f t="shared" si="6"/>
        <v>695736.5829845788</v>
      </c>
      <c r="G43" s="70">
        <f t="shared" si="7"/>
        <v>195459.9048220003</v>
      </c>
      <c r="H43" s="52">
        <f t="shared" si="8"/>
        <v>195459.9048220003</v>
      </c>
      <c r="I43" s="65">
        <f t="shared" si="1"/>
        <v>0</v>
      </c>
      <c r="J43" s="65"/>
      <c r="K43" s="130"/>
      <c r="L43" s="67">
        <f t="shared" si="9"/>
        <v>0</v>
      </c>
      <c r="M43" s="130"/>
      <c r="N43" s="67">
        <f t="shared" si="3"/>
        <v>0</v>
      </c>
      <c r="O43" s="67">
        <f t="shared" si="4"/>
        <v>0</v>
      </c>
      <c r="P43" s="4"/>
    </row>
    <row r="44" spans="2:16">
      <c r="B44" t="str">
        <f t="shared" si="0"/>
        <v/>
      </c>
      <c r="C44" s="62">
        <f>IF(D11="","-",+C43+1)</f>
        <v>2047</v>
      </c>
      <c r="D44" s="71">
        <f>IF(F43+SUM(E$17:E43)=D$10,F43,D$10-SUM(E$17:E43))</f>
        <v>695736.5829845788</v>
      </c>
      <c r="E44" s="69">
        <f t="shared" si="5"/>
        <v>109343.93939393939</v>
      </c>
      <c r="F44" s="68">
        <f t="shared" si="6"/>
        <v>586392.64359063935</v>
      </c>
      <c r="G44" s="70">
        <f t="shared" si="7"/>
        <v>182911.72840401047</v>
      </c>
      <c r="H44" s="52">
        <f t="shared" si="8"/>
        <v>182911.72840401047</v>
      </c>
      <c r="I44" s="65">
        <f t="shared" si="1"/>
        <v>0</v>
      </c>
      <c r="J44" s="65"/>
      <c r="K44" s="130"/>
      <c r="L44" s="67">
        <f t="shared" si="9"/>
        <v>0</v>
      </c>
      <c r="M44" s="130"/>
      <c r="N44" s="67">
        <f t="shared" si="3"/>
        <v>0</v>
      </c>
      <c r="O44" s="67">
        <f t="shared" si="4"/>
        <v>0</v>
      </c>
      <c r="P44" s="4"/>
    </row>
    <row r="45" spans="2:16">
      <c r="B45" t="str">
        <f t="shared" si="0"/>
        <v/>
      </c>
      <c r="C45" s="62">
        <f>IF(D11="","-",+C44+1)</f>
        <v>2048</v>
      </c>
      <c r="D45" s="71">
        <f>IF(F44+SUM(E$17:E44)=D$10,F44,D$10-SUM(E$17:E44))</f>
        <v>586392.64359063935</v>
      </c>
      <c r="E45" s="69">
        <f t="shared" si="5"/>
        <v>109343.93939393939</v>
      </c>
      <c r="F45" s="68">
        <f t="shared" si="6"/>
        <v>477048.70419669995</v>
      </c>
      <c r="G45" s="70">
        <f t="shared" si="7"/>
        <v>170363.55198602067</v>
      </c>
      <c r="H45" s="52">
        <f t="shared" si="8"/>
        <v>170363.55198602067</v>
      </c>
      <c r="I45" s="65">
        <f t="shared" si="1"/>
        <v>0</v>
      </c>
      <c r="J45" s="65"/>
      <c r="K45" s="130"/>
      <c r="L45" s="67">
        <f t="shared" si="9"/>
        <v>0</v>
      </c>
      <c r="M45" s="130"/>
      <c r="N45" s="67">
        <f t="shared" si="3"/>
        <v>0</v>
      </c>
      <c r="O45" s="67">
        <f t="shared" si="4"/>
        <v>0</v>
      </c>
      <c r="P45" s="4"/>
    </row>
    <row r="46" spans="2:16">
      <c r="B46" t="str">
        <f t="shared" si="0"/>
        <v/>
      </c>
      <c r="C46" s="62">
        <f>IF(D11="","-",+C45+1)</f>
        <v>2049</v>
      </c>
      <c r="D46" s="71">
        <f>IF(F45+SUM(E$17:E45)=D$10,F45,D$10-SUM(E$17:E45))</f>
        <v>477048.70419669995</v>
      </c>
      <c r="E46" s="69">
        <f t="shared" si="5"/>
        <v>109343.93939393939</v>
      </c>
      <c r="F46" s="68">
        <f t="shared" si="6"/>
        <v>367704.76480276056</v>
      </c>
      <c r="G46" s="70">
        <f t="shared" si="7"/>
        <v>157815.37556803087</v>
      </c>
      <c r="H46" s="52">
        <f t="shared" si="8"/>
        <v>157815.37556803087</v>
      </c>
      <c r="I46" s="65">
        <f t="shared" si="1"/>
        <v>0</v>
      </c>
      <c r="J46" s="65"/>
      <c r="K46" s="130"/>
      <c r="L46" s="67">
        <f t="shared" si="9"/>
        <v>0</v>
      </c>
      <c r="M46" s="130"/>
      <c r="N46" s="67">
        <f t="shared" si="3"/>
        <v>0</v>
      </c>
      <c r="O46" s="67">
        <f t="shared" si="4"/>
        <v>0</v>
      </c>
      <c r="P46" s="4"/>
    </row>
    <row r="47" spans="2:16">
      <c r="B47" t="str">
        <f t="shared" si="0"/>
        <v/>
      </c>
      <c r="C47" s="62">
        <f>IF(D11="","-",+C46+1)</f>
        <v>2050</v>
      </c>
      <c r="D47" s="71">
        <f>IF(F46+SUM(E$17:E46)=D$10,F46,D$10-SUM(E$17:E46))</f>
        <v>367704.76480276056</v>
      </c>
      <c r="E47" s="69">
        <f t="shared" si="5"/>
        <v>109343.93939393939</v>
      </c>
      <c r="F47" s="68">
        <f t="shared" si="6"/>
        <v>258360.82540882117</v>
      </c>
      <c r="G47" s="70">
        <f t="shared" si="7"/>
        <v>145267.19915004104</v>
      </c>
      <c r="H47" s="52">
        <f t="shared" si="8"/>
        <v>145267.19915004104</v>
      </c>
      <c r="I47" s="65">
        <f t="shared" si="1"/>
        <v>0</v>
      </c>
      <c r="J47" s="65"/>
      <c r="K47" s="130"/>
      <c r="L47" s="67">
        <f t="shared" si="9"/>
        <v>0</v>
      </c>
      <c r="M47" s="130"/>
      <c r="N47" s="67">
        <f t="shared" si="3"/>
        <v>0</v>
      </c>
      <c r="O47" s="67">
        <f t="shared" si="4"/>
        <v>0</v>
      </c>
      <c r="P47" s="4"/>
    </row>
    <row r="48" spans="2:16">
      <c r="B48" t="str">
        <f t="shared" si="0"/>
        <v/>
      </c>
      <c r="C48" s="62">
        <f>IF(D11="","-",+C47+1)</f>
        <v>2051</v>
      </c>
      <c r="D48" s="71">
        <f>IF(F47+SUM(E$17:E47)=D$10,F47,D$10-SUM(E$17:E47))</f>
        <v>258360.82540882117</v>
      </c>
      <c r="E48" s="69">
        <f t="shared" si="5"/>
        <v>109343.93939393939</v>
      </c>
      <c r="F48" s="68">
        <f t="shared" si="6"/>
        <v>149016.88601488178</v>
      </c>
      <c r="G48" s="70">
        <f t="shared" si="7"/>
        <v>132719.02273205123</v>
      </c>
      <c r="H48" s="52">
        <f t="shared" si="8"/>
        <v>132719.02273205123</v>
      </c>
      <c r="I48" s="65">
        <f t="shared" si="1"/>
        <v>0</v>
      </c>
      <c r="J48" s="65"/>
      <c r="K48" s="130"/>
      <c r="L48" s="67">
        <f t="shared" si="9"/>
        <v>0</v>
      </c>
      <c r="M48" s="130"/>
      <c r="N48" s="67">
        <f t="shared" si="3"/>
        <v>0</v>
      </c>
      <c r="O48" s="67">
        <f t="shared" si="4"/>
        <v>0</v>
      </c>
      <c r="P48" s="4"/>
    </row>
    <row r="49" spans="2:16">
      <c r="B49" t="str">
        <f t="shared" si="0"/>
        <v/>
      </c>
      <c r="C49" s="62">
        <f>IF(D11="","-",+C48+1)</f>
        <v>2052</v>
      </c>
      <c r="D49" s="71">
        <f>IF(F48+SUM(E$17:E48)=D$10,F48,D$10-SUM(E$17:E48))</f>
        <v>149016.88601488178</v>
      </c>
      <c r="E49" s="69">
        <f t="shared" si="5"/>
        <v>109343.93939393939</v>
      </c>
      <c r="F49" s="68">
        <f t="shared" si="6"/>
        <v>39672.946620942384</v>
      </c>
      <c r="G49" s="70">
        <f t="shared" si="7"/>
        <v>120170.84631406143</v>
      </c>
      <c r="H49" s="52">
        <f t="shared" si="8"/>
        <v>120170.84631406143</v>
      </c>
      <c r="I49" s="65">
        <f t="shared" si="1"/>
        <v>0</v>
      </c>
      <c r="J49" s="65"/>
      <c r="K49" s="130"/>
      <c r="L49" s="67">
        <f t="shared" si="9"/>
        <v>0</v>
      </c>
      <c r="M49" s="130"/>
      <c r="N49" s="67">
        <f t="shared" si="3"/>
        <v>0</v>
      </c>
      <c r="O49" s="67">
        <f t="shared" si="4"/>
        <v>0</v>
      </c>
      <c r="P49" s="4"/>
    </row>
    <row r="50" spans="2:16">
      <c r="B50" t="str">
        <f t="shared" si="0"/>
        <v/>
      </c>
      <c r="C50" s="62">
        <f>IF(D11="","-",+C49+1)</f>
        <v>2053</v>
      </c>
      <c r="D50" s="71">
        <f>IF(F49+SUM(E$17:E49)=D$10,F49,D$10-SUM(E$17:E49))</f>
        <v>39672.946620942384</v>
      </c>
      <c r="E50" s="69">
        <f t="shared" si="5"/>
        <v>39672.946620942384</v>
      </c>
      <c r="F50" s="68">
        <f t="shared" si="6"/>
        <v>0</v>
      </c>
      <c r="G50" s="70">
        <f t="shared" si="7"/>
        <v>41949.355976505947</v>
      </c>
      <c r="H50" s="52">
        <f t="shared" si="8"/>
        <v>41949.355976505947</v>
      </c>
      <c r="I50" s="65">
        <f t="shared" si="1"/>
        <v>0</v>
      </c>
      <c r="J50" s="65"/>
      <c r="K50" s="130"/>
      <c r="L50" s="67">
        <f t="shared" si="9"/>
        <v>0</v>
      </c>
      <c r="M50" s="130"/>
      <c r="N50" s="67">
        <f t="shared" si="3"/>
        <v>0</v>
      </c>
      <c r="O50" s="67">
        <f t="shared" si="4"/>
        <v>0</v>
      </c>
      <c r="P50" s="4"/>
    </row>
    <row r="51" spans="2:16">
      <c r="B51" t="str">
        <f t="shared" si="0"/>
        <v/>
      </c>
      <c r="C51" s="62">
        <f>IF(D11="","-",+C50+1)</f>
        <v>2054</v>
      </c>
      <c r="D51" s="71">
        <f>IF(F50+SUM(E$17:E50)=D$10,F50,D$10-SUM(E$17:E50))</f>
        <v>0</v>
      </c>
      <c r="E51" s="69">
        <f t="shared" si="5"/>
        <v>0</v>
      </c>
      <c r="F51" s="68">
        <f t="shared" si="6"/>
        <v>0</v>
      </c>
      <c r="G51" s="70">
        <f t="shared" si="7"/>
        <v>0</v>
      </c>
      <c r="H51" s="52">
        <f t="shared" si="8"/>
        <v>0</v>
      </c>
      <c r="I51" s="65">
        <f t="shared" si="1"/>
        <v>0</v>
      </c>
      <c r="J51" s="65"/>
      <c r="K51" s="130"/>
      <c r="L51" s="67">
        <f t="shared" si="9"/>
        <v>0</v>
      </c>
      <c r="M51" s="130"/>
      <c r="N51" s="67">
        <f t="shared" si="3"/>
        <v>0</v>
      </c>
      <c r="O51" s="67">
        <f t="shared" si="4"/>
        <v>0</v>
      </c>
      <c r="P51" s="4"/>
    </row>
    <row r="52" spans="2:16">
      <c r="B52" t="str">
        <f t="shared" si="0"/>
        <v/>
      </c>
      <c r="C52" s="62">
        <f>IF(D11="","-",+C51+1)</f>
        <v>2055</v>
      </c>
      <c r="D52" s="71">
        <f>IF(F51+SUM(E$17:E51)=D$10,F51,D$10-SUM(E$17:E51))</f>
        <v>0</v>
      </c>
      <c r="E52" s="69">
        <f t="shared" si="5"/>
        <v>0</v>
      </c>
      <c r="F52" s="68">
        <f t="shared" si="6"/>
        <v>0</v>
      </c>
      <c r="G52" s="70">
        <f t="shared" si="7"/>
        <v>0</v>
      </c>
      <c r="H52" s="52">
        <f t="shared" si="8"/>
        <v>0</v>
      </c>
      <c r="I52" s="65">
        <f t="shared" si="1"/>
        <v>0</v>
      </c>
      <c r="J52" s="65"/>
      <c r="K52" s="130"/>
      <c r="L52" s="67">
        <f t="shared" si="9"/>
        <v>0</v>
      </c>
      <c r="M52" s="130"/>
      <c r="N52" s="67">
        <f t="shared" si="3"/>
        <v>0</v>
      </c>
      <c r="O52" s="67">
        <f t="shared" si="4"/>
        <v>0</v>
      </c>
      <c r="P52" s="4"/>
    </row>
    <row r="53" spans="2:16">
      <c r="B53" t="str">
        <f t="shared" si="0"/>
        <v/>
      </c>
      <c r="C53" s="62">
        <f>IF(D11="","-",+C52+1)</f>
        <v>2056</v>
      </c>
      <c r="D53" s="71">
        <f>IF(F52+SUM(E$17:E52)=D$10,F52,D$10-SUM(E$17:E52))</f>
        <v>0</v>
      </c>
      <c r="E53" s="69">
        <f t="shared" si="5"/>
        <v>0</v>
      </c>
      <c r="F53" s="68">
        <f t="shared" si="6"/>
        <v>0</v>
      </c>
      <c r="G53" s="70">
        <f t="shared" si="7"/>
        <v>0</v>
      </c>
      <c r="H53" s="52">
        <f t="shared" si="8"/>
        <v>0</v>
      </c>
      <c r="I53" s="65">
        <f t="shared" si="1"/>
        <v>0</v>
      </c>
      <c r="J53" s="65"/>
      <c r="K53" s="130"/>
      <c r="L53" s="67">
        <f t="shared" si="9"/>
        <v>0</v>
      </c>
      <c r="M53" s="130"/>
      <c r="N53" s="67">
        <f t="shared" si="3"/>
        <v>0</v>
      </c>
      <c r="O53" s="67">
        <f t="shared" si="4"/>
        <v>0</v>
      </c>
      <c r="P53" s="4"/>
    </row>
    <row r="54" spans="2:16">
      <c r="B54" t="str">
        <f t="shared" si="0"/>
        <v/>
      </c>
      <c r="C54" s="62">
        <f>IF(D11="","-",+C53+1)</f>
        <v>2057</v>
      </c>
      <c r="D54" s="71">
        <f>IF(F53+SUM(E$17:E53)=D$10,F53,D$10-SUM(E$17:E53))</f>
        <v>0</v>
      </c>
      <c r="E54" s="69">
        <f t="shared" si="5"/>
        <v>0</v>
      </c>
      <c r="F54" s="68">
        <f t="shared" si="6"/>
        <v>0</v>
      </c>
      <c r="G54" s="70">
        <f t="shared" si="7"/>
        <v>0</v>
      </c>
      <c r="H54" s="52">
        <f t="shared" si="8"/>
        <v>0</v>
      </c>
      <c r="I54" s="65">
        <f t="shared" si="1"/>
        <v>0</v>
      </c>
      <c r="J54" s="65"/>
      <c r="K54" s="130"/>
      <c r="L54" s="67">
        <f t="shared" si="9"/>
        <v>0</v>
      </c>
      <c r="M54" s="130"/>
      <c r="N54" s="67">
        <f t="shared" si="3"/>
        <v>0</v>
      </c>
      <c r="O54" s="67">
        <f t="shared" si="4"/>
        <v>0</v>
      </c>
      <c r="P54" s="4"/>
    </row>
    <row r="55" spans="2:16">
      <c r="B55" t="str">
        <f t="shared" si="0"/>
        <v/>
      </c>
      <c r="C55" s="62">
        <f>IF(D11="","-",+C54+1)</f>
        <v>2058</v>
      </c>
      <c r="D55" s="71">
        <f>IF(F54+SUM(E$17:E54)=D$10,F54,D$10-SUM(E$17:E54))</f>
        <v>0</v>
      </c>
      <c r="E55" s="69">
        <f t="shared" si="5"/>
        <v>0</v>
      </c>
      <c r="F55" s="68">
        <f t="shared" si="6"/>
        <v>0</v>
      </c>
      <c r="G55" s="70">
        <f t="shared" si="7"/>
        <v>0</v>
      </c>
      <c r="H55" s="52">
        <f t="shared" si="8"/>
        <v>0</v>
      </c>
      <c r="I55" s="65">
        <f t="shared" si="1"/>
        <v>0</v>
      </c>
      <c r="J55" s="65"/>
      <c r="K55" s="130"/>
      <c r="L55" s="67">
        <f t="shared" si="9"/>
        <v>0</v>
      </c>
      <c r="M55" s="130"/>
      <c r="N55" s="67">
        <f t="shared" si="3"/>
        <v>0</v>
      </c>
      <c r="O55" s="67">
        <f t="shared" si="4"/>
        <v>0</v>
      </c>
      <c r="P55" s="4"/>
    </row>
    <row r="56" spans="2:16">
      <c r="B56" t="str">
        <f t="shared" si="0"/>
        <v/>
      </c>
      <c r="C56" s="62">
        <f>IF(D11="","-",+C55+1)</f>
        <v>2059</v>
      </c>
      <c r="D56" s="71">
        <f>IF(F55+SUM(E$17:E55)=D$10,F55,D$10-SUM(E$17:E55))</f>
        <v>0</v>
      </c>
      <c r="E56" s="69">
        <f t="shared" si="5"/>
        <v>0</v>
      </c>
      <c r="F56" s="68">
        <f t="shared" si="6"/>
        <v>0</v>
      </c>
      <c r="G56" s="70">
        <f t="shared" si="7"/>
        <v>0</v>
      </c>
      <c r="H56" s="52">
        <f t="shared" si="8"/>
        <v>0</v>
      </c>
      <c r="I56" s="65">
        <f t="shared" si="1"/>
        <v>0</v>
      </c>
      <c r="J56" s="65"/>
      <c r="K56" s="130"/>
      <c r="L56" s="67">
        <f t="shared" si="9"/>
        <v>0</v>
      </c>
      <c r="M56" s="130"/>
      <c r="N56" s="67">
        <f t="shared" si="3"/>
        <v>0</v>
      </c>
      <c r="O56" s="67">
        <f t="shared" si="4"/>
        <v>0</v>
      </c>
      <c r="P56" s="4"/>
    </row>
    <row r="57" spans="2:16">
      <c r="B57" t="str">
        <f t="shared" si="0"/>
        <v/>
      </c>
      <c r="C57" s="62">
        <f>IF(D11="","-",+C56+1)</f>
        <v>2060</v>
      </c>
      <c r="D57" s="71">
        <f>IF(F56+SUM(E$17:E56)=D$10,F56,D$10-SUM(E$17:E56))</f>
        <v>0</v>
      </c>
      <c r="E57" s="69">
        <f t="shared" si="5"/>
        <v>0</v>
      </c>
      <c r="F57" s="68">
        <f t="shared" si="6"/>
        <v>0</v>
      </c>
      <c r="G57" s="70">
        <f t="shared" si="7"/>
        <v>0</v>
      </c>
      <c r="H57" s="52">
        <f t="shared" si="8"/>
        <v>0</v>
      </c>
      <c r="I57" s="65">
        <f t="shared" si="1"/>
        <v>0</v>
      </c>
      <c r="J57" s="65"/>
      <c r="K57" s="130"/>
      <c r="L57" s="67">
        <f t="shared" si="9"/>
        <v>0</v>
      </c>
      <c r="M57" s="130"/>
      <c r="N57" s="67">
        <f t="shared" si="3"/>
        <v>0</v>
      </c>
      <c r="O57" s="67">
        <f t="shared" si="4"/>
        <v>0</v>
      </c>
      <c r="P57" s="4"/>
    </row>
    <row r="58" spans="2:16">
      <c r="B58" t="str">
        <f t="shared" si="0"/>
        <v/>
      </c>
      <c r="C58" s="62">
        <f>IF(D11="","-",+C57+1)</f>
        <v>2061</v>
      </c>
      <c r="D58" s="71">
        <f>IF(F57+SUM(E$17:E57)=D$10,F57,D$10-SUM(E$17:E57))</f>
        <v>0</v>
      </c>
      <c r="E58" s="69">
        <f t="shared" si="5"/>
        <v>0</v>
      </c>
      <c r="F58" s="68">
        <f t="shared" si="6"/>
        <v>0</v>
      </c>
      <c r="G58" s="70">
        <f t="shared" si="7"/>
        <v>0</v>
      </c>
      <c r="H58" s="52">
        <f t="shared" si="8"/>
        <v>0</v>
      </c>
      <c r="I58" s="65">
        <f t="shared" si="1"/>
        <v>0</v>
      </c>
      <c r="J58" s="65"/>
      <c r="K58" s="130"/>
      <c r="L58" s="67">
        <f t="shared" si="9"/>
        <v>0</v>
      </c>
      <c r="M58" s="130"/>
      <c r="N58" s="67">
        <f t="shared" si="3"/>
        <v>0</v>
      </c>
      <c r="O58" s="67">
        <f t="shared" si="4"/>
        <v>0</v>
      </c>
      <c r="P58" s="4"/>
    </row>
    <row r="59" spans="2:16">
      <c r="B59" t="str">
        <f t="shared" si="0"/>
        <v/>
      </c>
      <c r="C59" s="62">
        <f>IF(D11="","-",+C58+1)</f>
        <v>2062</v>
      </c>
      <c r="D59" s="71">
        <f>IF(F58+SUM(E$17:E58)=D$10,F58,D$10-SUM(E$17:E58))</f>
        <v>0</v>
      </c>
      <c r="E59" s="69">
        <f t="shared" si="5"/>
        <v>0</v>
      </c>
      <c r="F59" s="68">
        <f t="shared" si="6"/>
        <v>0</v>
      </c>
      <c r="G59" s="70">
        <f t="shared" si="7"/>
        <v>0</v>
      </c>
      <c r="H59" s="52">
        <f t="shared" si="8"/>
        <v>0</v>
      </c>
      <c r="I59" s="65">
        <f t="shared" si="1"/>
        <v>0</v>
      </c>
      <c r="J59" s="65"/>
      <c r="K59" s="130"/>
      <c r="L59" s="67">
        <f t="shared" si="9"/>
        <v>0</v>
      </c>
      <c r="M59" s="130"/>
      <c r="N59" s="67">
        <f t="shared" si="3"/>
        <v>0</v>
      </c>
      <c r="O59" s="67">
        <f t="shared" si="4"/>
        <v>0</v>
      </c>
      <c r="P59" s="4"/>
    </row>
    <row r="60" spans="2:16">
      <c r="B60" t="str">
        <f t="shared" si="0"/>
        <v/>
      </c>
      <c r="C60" s="62">
        <f>IF(D11="","-",+C59+1)</f>
        <v>2063</v>
      </c>
      <c r="D60" s="71">
        <f>IF(F59+SUM(E$17:E59)=D$10,F59,D$10-SUM(E$17:E59))</f>
        <v>0</v>
      </c>
      <c r="E60" s="69">
        <f t="shared" si="5"/>
        <v>0</v>
      </c>
      <c r="F60" s="68">
        <f t="shared" si="6"/>
        <v>0</v>
      </c>
      <c r="G60" s="70">
        <f t="shared" si="7"/>
        <v>0</v>
      </c>
      <c r="H60" s="52">
        <f t="shared" si="8"/>
        <v>0</v>
      </c>
      <c r="I60" s="65">
        <f t="shared" si="1"/>
        <v>0</v>
      </c>
      <c r="J60" s="65"/>
      <c r="K60" s="130"/>
      <c r="L60" s="67">
        <f t="shared" si="9"/>
        <v>0</v>
      </c>
      <c r="M60" s="130"/>
      <c r="N60" s="67">
        <f t="shared" si="3"/>
        <v>0</v>
      </c>
      <c r="O60" s="67">
        <f t="shared" si="4"/>
        <v>0</v>
      </c>
      <c r="P60" s="4"/>
    </row>
    <row r="61" spans="2:16">
      <c r="B61" t="str">
        <f t="shared" si="0"/>
        <v/>
      </c>
      <c r="C61" s="62">
        <f>IF(D11="","-",+C60+1)</f>
        <v>2064</v>
      </c>
      <c r="D61" s="71">
        <f>IF(F60+SUM(E$17:E60)=D$10,F60,D$10-SUM(E$17:E60))</f>
        <v>0</v>
      </c>
      <c r="E61" s="69">
        <f t="shared" si="5"/>
        <v>0</v>
      </c>
      <c r="F61" s="68">
        <f t="shared" si="6"/>
        <v>0</v>
      </c>
      <c r="G61" s="72">
        <f t="shared" si="7"/>
        <v>0</v>
      </c>
      <c r="H61" s="52">
        <f t="shared" si="8"/>
        <v>0</v>
      </c>
      <c r="I61" s="65">
        <f t="shared" si="1"/>
        <v>0</v>
      </c>
      <c r="J61" s="65"/>
      <c r="K61" s="130"/>
      <c r="L61" s="67">
        <f t="shared" si="9"/>
        <v>0</v>
      </c>
      <c r="M61" s="130"/>
      <c r="N61" s="67">
        <f t="shared" si="3"/>
        <v>0</v>
      </c>
      <c r="O61" s="67">
        <f t="shared" si="4"/>
        <v>0</v>
      </c>
      <c r="P61" s="4"/>
    </row>
    <row r="62" spans="2:16">
      <c r="B62" t="str">
        <f t="shared" si="0"/>
        <v/>
      </c>
      <c r="C62" s="62">
        <f>IF(D11="","-",+C61+1)</f>
        <v>2065</v>
      </c>
      <c r="D62" s="71">
        <f>IF(F61+SUM(E$17:E61)=D$10,F61,D$10-SUM(E$17:E61))</f>
        <v>0</v>
      </c>
      <c r="E62" s="69">
        <f t="shared" si="5"/>
        <v>0</v>
      </c>
      <c r="F62" s="68">
        <f t="shared" si="6"/>
        <v>0</v>
      </c>
      <c r="G62" s="72">
        <f t="shared" si="7"/>
        <v>0</v>
      </c>
      <c r="H62" s="52">
        <f t="shared" si="8"/>
        <v>0</v>
      </c>
      <c r="I62" s="65">
        <f t="shared" si="1"/>
        <v>0</v>
      </c>
      <c r="J62" s="65"/>
      <c r="K62" s="130"/>
      <c r="L62" s="67">
        <f t="shared" si="9"/>
        <v>0</v>
      </c>
      <c r="M62" s="130"/>
      <c r="N62" s="67">
        <f t="shared" si="3"/>
        <v>0</v>
      </c>
      <c r="O62" s="67">
        <f t="shared" si="4"/>
        <v>0</v>
      </c>
      <c r="P62" s="4"/>
    </row>
    <row r="63" spans="2:16">
      <c r="B63" t="str">
        <f t="shared" si="0"/>
        <v/>
      </c>
      <c r="C63" s="62">
        <f>IF(D11="","-",+C62+1)</f>
        <v>2066</v>
      </c>
      <c r="D63" s="71">
        <f>IF(F62+SUM(E$17:E62)=D$10,F62,D$10-SUM(E$17:E62))</f>
        <v>0</v>
      </c>
      <c r="E63" s="69">
        <f t="shared" si="5"/>
        <v>0</v>
      </c>
      <c r="F63" s="68">
        <f t="shared" si="6"/>
        <v>0</v>
      </c>
      <c r="G63" s="72">
        <f t="shared" si="7"/>
        <v>0</v>
      </c>
      <c r="H63" s="52">
        <f t="shared" si="8"/>
        <v>0</v>
      </c>
      <c r="I63" s="65">
        <f t="shared" si="1"/>
        <v>0</v>
      </c>
      <c r="J63" s="65"/>
      <c r="K63" s="130"/>
      <c r="L63" s="67">
        <f t="shared" si="9"/>
        <v>0</v>
      </c>
      <c r="M63" s="130"/>
      <c r="N63" s="67">
        <f t="shared" si="3"/>
        <v>0</v>
      </c>
      <c r="O63" s="67">
        <f t="shared" si="4"/>
        <v>0</v>
      </c>
      <c r="P63" s="4"/>
    </row>
    <row r="64" spans="2:16">
      <c r="B64" t="str">
        <f t="shared" si="0"/>
        <v/>
      </c>
      <c r="C64" s="62">
        <f>IF(D11="","-",+C63+1)</f>
        <v>2067</v>
      </c>
      <c r="D64" s="71">
        <f>IF(F63+SUM(E$17:E63)=D$10,F63,D$10-SUM(E$17:E63))</f>
        <v>0</v>
      </c>
      <c r="E64" s="69">
        <f t="shared" si="5"/>
        <v>0</v>
      </c>
      <c r="F64" s="68">
        <f t="shared" si="6"/>
        <v>0</v>
      </c>
      <c r="G64" s="72">
        <f t="shared" si="7"/>
        <v>0</v>
      </c>
      <c r="H64" s="52">
        <f t="shared" si="8"/>
        <v>0</v>
      </c>
      <c r="I64" s="65">
        <f t="shared" si="1"/>
        <v>0</v>
      </c>
      <c r="J64" s="65"/>
      <c r="K64" s="130"/>
      <c r="L64" s="67">
        <f t="shared" si="9"/>
        <v>0</v>
      </c>
      <c r="M64" s="130"/>
      <c r="N64" s="67">
        <f t="shared" si="3"/>
        <v>0</v>
      </c>
      <c r="O64" s="67">
        <f t="shared" si="4"/>
        <v>0</v>
      </c>
      <c r="P64" s="4"/>
    </row>
    <row r="65" spans="2:16">
      <c r="B65" t="str">
        <f t="shared" si="0"/>
        <v/>
      </c>
      <c r="C65" s="62">
        <f>IF(D11="","-",+C64+1)</f>
        <v>2068</v>
      </c>
      <c r="D65" s="71">
        <f>IF(F64+SUM(E$17:E64)=D$10,F64,D$10-SUM(E$17:E64))</f>
        <v>0</v>
      </c>
      <c r="E65" s="69">
        <f t="shared" si="5"/>
        <v>0</v>
      </c>
      <c r="F65" s="68">
        <f t="shared" si="6"/>
        <v>0</v>
      </c>
      <c r="G65" s="72">
        <f t="shared" si="7"/>
        <v>0</v>
      </c>
      <c r="H65" s="52">
        <f t="shared" si="8"/>
        <v>0</v>
      </c>
      <c r="I65" s="65">
        <f t="shared" si="1"/>
        <v>0</v>
      </c>
      <c r="J65" s="65"/>
      <c r="K65" s="130"/>
      <c r="L65" s="67">
        <f t="shared" si="9"/>
        <v>0</v>
      </c>
      <c r="M65" s="130"/>
      <c r="N65" s="67">
        <f t="shared" si="3"/>
        <v>0</v>
      </c>
      <c r="O65" s="67">
        <f t="shared" si="4"/>
        <v>0</v>
      </c>
      <c r="P65" s="4"/>
    </row>
    <row r="66" spans="2:16">
      <c r="B66" t="str">
        <f t="shared" si="0"/>
        <v/>
      </c>
      <c r="C66" s="62">
        <f>IF(D11="","-",+C65+1)</f>
        <v>2069</v>
      </c>
      <c r="D66" s="71">
        <f>IF(F65+SUM(E$17:E65)=D$10,F65,D$10-SUM(E$17:E65))</f>
        <v>0</v>
      </c>
      <c r="E66" s="69">
        <f t="shared" si="5"/>
        <v>0</v>
      </c>
      <c r="F66" s="68">
        <f t="shared" si="6"/>
        <v>0</v>
      </c>
      <c r="G66" s="72">
        <f t="shared" si="7"/>
        <v>0</v>
      </c>
      <c r="H66" s="52">
        <f t="shared" si="8"/>
        <v>0</v>
      </c>
      <c r="I66" s="65">
        <f t="shared" si="1"/>
        <v>0</v>
      </c>
      <c r="J66" s="65"/>
      <c r="K66" s="130"/>
      <c r="L66" s="67">
        <f t="shared" si="9"/>
        <v>0</v>
      </c>
      <c r="M66" s="130"/>
      <c r="N66" s="67">
        <f t="shared" si="3"/>
        <v>0</v>
      </c>
      <c r="O66" s="67">
        <f t="shared" si="4"/>
        <v>0</v>
      </c>
      <c r="P66" s="4"/>
    </row>
    <row r="67" spans="2:16">
      <c r="B67" t="str">
        <f t="shared" si="0"/>
        <v/>
      </c>
      <c r="C67" s="62">
        <f>IF(D11="","-",+C66+1)</f>
        <v>2070</v>
      </c>
      <c r="D67" s="71">
        <f>IF(F66+SUM(E$17:E66)=D$10,F66,D$10-SUM(E$17:E66))</f>
        <v>0</v>
      </c>
      <c r="E67" s="69">
        <f t="shared" si="5"/>
        <v>0</v>
      </c>
      <c r="F67" s="68">
        <f t="shared" si="6"/>
        <v>0</v>
      </c>
      <c r="G67" s="72">
        <f t="shared" si="7"/>
        <v>0</v>
      </c>
      <c r="H67" s="52">
        <f t="shared" si="8"/>
        <v>0</v>
      </c>
      <c r="I67" s="65">
        <f t="shared" si="1"/>
        <v>0</v>
      </c>
      <c r="J67" s="65"/>
      <c r="K67" s="130"/>
      <c r="L67" s="67">
        <f t="shared" si="9"/>
        <v>0</v>
      </c>
      <c r="M67" s="130"/>
      <c r="N67" s="67">
        <f t="shared" si="3"/>
        <v>0</v>
      </c>
      <c r="O67" s="67">
        <f t="shared" si="4"/>
        <v>0</v>
      </c>
      <c r="P67" s="4"/>
    </row>
    <row r="68" spans="2:16">
      <c r="B68" t="str">
        <f t="shared" si="0"/>
        <v/>
      </c>
      <c r="C68" s="62">
        <f>IF(D11="","-",+C67+1)</f>
        <v>2071</v>
      </c>
      <c r="D68" s="71">
        <f>IF(F67+SUM(E$17:E67)=D$10,F67,D$10-SUM(E$17:E67))</f>
        <v>0</v>
      </c>
      <c r="E68" s="69">
        <f t="shared" si="5"/>
        <v>0</v>
      </c>
      <c r="F68" s="68">
        <f t="shared" si="6"/>
        <v>0</v>
      </c>
      <c r="G68" s="72">
        <f t="shared" si="7"/>
        <v>0</v>
      </c>
      <c r="H68" s="52">
        <f t="shared" si="8"/>
        <v>0</v>
      </c>
      <c r="I68" s="65">
        <f t="shared" si="1"/>
        <v>0</v>
      </c>
      <c r="J68" s="65"/>
      <c r="K68" s="130"/>
      <c r="L68" s="67">
        <f t="shared" si="9"/>
        <v>0</v>
      </c>
      <c r="M68" s="130"/>
      <c r="N68" s="67">
        <f t="shared" si="3"/>
        <v>0</v>
      </c>
      <c r="O68" s="67">
        <f t="shared" si="4"/>
        <v>0</v>
      </c>
      <c r="P68" s="4"/>
    </row>
    <row r="69" spans="2:16">
      <c r="B69" t="str">
        <f t="shared" si="0"/>
        <v/>
      </c>
      <c r="C69" s="62">
        <f>IF(D11="","-",+C68+1)</f>
        <v>2072</v>
      </c>
      <c r="D69" s="71">
        <f>IF(F68+SUM(E$17:E68)=D$10,F68,D$10-SUM(E$17:E68))</f>
        <v>0</v>
      </c>
      <c r="E69" s="69">
        <f t="shared" si="5"/>
        <v>0</v>
      </c>
      <c r="F69" s="68">
        <f t="shared" si="6"/>
        <v>0</v>
      </c>
      <c r="G69" s="72">
        <f t="shared" si="7"/>
        <v>0</v>
      </c>
      <c r="H69" s="52">
        <f t="shared" si="8"/>
        <v>0</v>
      </c>
      <c r="I69" s="65">
        <f t="shared" si="1"/>
        <v>0</v>
      </c>
      <c r="J69" s="65"/>
      <c r="K69" s="130"/>
      <c r="L69" s="67">
        <f t="shared" si="9"/>
        <v>0</v>
      </c>
      <c r="M69" s="130"/>
      <c r="N69" s="67">
        <f t="shared" si="3"/>
        <v>0</v>
      </c>
      <c r="O69" s="67">
        <f t="shared" si="4"/>
        <v>0</v>
      </c>
      <c r="P69" s="4"/>
    </row>
    <row r="70" spans="2:16">
      <c r="B70" t="str">
        <f t="shared" si="0"/>
        <v/>
      </c>
      <c r="C70" s="62">
        <f>IF(D11="","-",+C69+1)</f>
        <v>2073</v>
      </c>
      <c r="D70" s="71">
        <f>IF(F69+SUM(E$17:E69)=D$10,F69,D$10-SUM(E$17:E69))</f>
        <v>0</v>
      </c>
      <c r="E70" s="69">
        <f t="shared" si="5"/>
        <v>0</v>
      </c>
      <c r="F70" s="68">
        <f t="shared" si="6"/>
        <v>0</v>
      </c>
      <c r="G70" s="72">
        <f t="shared" si="7"/>
        <v>0</v>
      </c>
      <c r="H70" s="52">
        <f t="shared" si="8"/>
        <v>0</v>
      </c>
      <c r="I70" s="65">
        <f t="shared" si="1"/>
        <v>0</v>
      </c>
      <c r="J70" s="65"/>
      <c r="K70" s="130"/>
      <c r="L70" s="67">
        <f t="shared" si="9"/>
        <v>0</v>
      </c>
      <c r="M70" s="130"/>
      <c r="N70" s="67">
        <f t="shared" si="3"/>
        <v>0</v>
      </c>
      <c r="O70" s="67">
        <f t="shared" si="4"/>
        <v>0</v>
      </c>
      <c r="P70" s="4"/>
    </row>
    <row r="71" spans="2:16">
      <c r="B71" t="str">
        <f t="shared" si="0"/>
        <v/>
      </c>
      <c r="C71" s="62">
        <f>IF(D11="","-",+C70+1)</f>
        <v>2074</v>
      </c>
      <c r="D71" s="71">
        <f>IF(F70+SUM(E$17:E70)=D$10,F70,D$10-SUM(E$17:E70))</f>
        <v>0</v>
      </c>
      <c r="E71" s="69">
        <f t="shared" si="5"/>
        <v>0</v>
      </c>
      <c r="F71" s="68">
        <f t="shared" si="6"/>
        <v>0</v>
      </c>
      <c r="G71" s="72">
        <f t="shared" si="7"/>
        <v>0</v>
      </c>
      <c r="H71" s="52">
        <f t="shared" si="8"/>
        <v>0</v>
      </c>
      <c r="I71" s="65">
        <f t="shared" si="1"/>
        <v>0</v>
      </c>
      <c r="J71" s="65"/>
      <c r="K71" s="130"/>
      <c r="L71" s="67">
        <f t="shared" si="9"/>
        <v>0</v>
      </c>
      <c r="M71" s="130"/>
      <c r="N71" s="67">
        <f t="shared" si="3"/>
        <v>0</v>
      </c>
      <c r="O71" s="67">
        <f t="shared" si="4"/>
        <v>0</v>
      </c>
      <c r="P71" s="4"/>
    </row>
    <row r="72" spans="2:16">
      <c r="C72" s="62">
        <f>IF(D12="","-",+C71+1)</f>
        <v>2075</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5" thickBot="1">
      <c r="B73" t="str">
        <f>IF(D73=F71,"","IU")</f>
        <v/>
      </c>
      <c r="C73" s="73">
        <f>IF(D13="","-",+C72+1)</f>
        <v>2076</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c r="C74" s="63" t="s">
        <v>75</v>
      </c>
      <c r="D74" s="19"/>
      <c r="E74" s="19">
        <f>SUM(E17:E73)</f>
        <v>3608350</v>
      </c>
      <c r="F74" s="19"/>
      <c r="G74" s="19">
        <f>SUM(G17:G73)</f>
        <v>10378241.268569946</v>
      </c>
      <c r="H74" s="19">
        <f>SUM(H17:H73)</f>
        <v>10378241.268569946</v>
      </c>
      <c r="I74" s="19">
        <f>SUM(I17:I73)</f>
        <v>0</v>
      </c>
      <c r="J74" s="19"/>
      <c r="K74" s="19"/>
      <c r="L74" s="19"/>
      <c r="M74" s="19"/>
      <c r="N74" s="19"/>
      <c r="O74" s="4"/>
      <c r="P74" s="4"/>
    </row>
    <row r="75" spans="2:16">
      <c r="D75" s="2"/>
      <c r="E75" s="1"/>
      <c r="F75" s="1"/>
      <c r="G75" s="1"/>
      <c r="H75" s="3"/>
      <c r="I75" s="3"/>
      <c r="J75" s="19"/>
      <c r="K75" s="3"/>
      <c r="L75" s="3"/>
      <c r="M75" s="3"/>
      <c r="N75" s="3"/>
      <c r="O75" s="1"/>
      <c r="P75" s="1"/>
    </row>
    <row r="76" spans="2:16">
      <c r="C76" s="79" t="s">
        <v>95</v>
      </c>
      <c r="D76" s="2"/>
      <c r="E76" s="1"/>
      <c r="F76" s="1"/>
      <c r="G76" s="1"/>
      <c r="H76" s="3"/>
      <c r="I76" s="3"/>
      <c r="J76" s="19"/>
      <c r="K76" s="3"/>
      <c r="L76" s="3"/>
      <c r="M76" s="3"/>
      <c r="N76" s="3"/>
      <c r="O76" s="1"/>
      <c r="P76" s="1"/>
    </row>
    <row r="77" spans="2:16">
      <c r="C77" s="31" t="s">
        <v>76</v>
      </c>
      <c r="D77" s="2"/>
      <c r="E77" s="1"/>
      <c r="F77" s="1"/>
      <c r="G77" s="1"/>
      <c r="H77" s="3"/>
      <c r="I77" s="3"/>
      <c r="J77" s="19"/>
      <c r="K77" s="3"/>
      <c r="L77" s="3"/>
      <c r="M77" s="3"/>
      <c r="N77" s="3"/>
      <c r="O77" s="4"/>
      <c r="P77" s="4"/>
    </row>
    <row r="78" spans="2:16">
      <c r="C78" s="31" t="s">
        <v>77</v>
      </c>
      <c r="D78" s="63"/>
      <c r="E78" s="63"/>
      <c r="F78" s="63"/>
      <c r="G78" s="19"/>
      <c r="H78" s="19"/>
      <c r="I78" s="80"/>
      <c r="J78" s="80"/>
      <c r="K78" s="80"/>
      <c r="L78" s="80"/>
      <c r="M78" s="80"/>
      <c r="N78" s="80"/>
      <c r="O78" s="4"/>
      <c r="P78" s="4"/>
    </row>
    <row r="79" spans="2:16">
      <c r="C79" s="31"/>
      <c r="D79" s="63"/>
      <c r="E79" s="63"/>
      <c r="F79" s="63"/>
      <c r="G79" s="19"/>
      <c r="H79" s="19"/>
      <c r="I79" s="80"/>
      <c r="J79" s="80"/>
      <c r="K79" s="80"/>
      <c r="L79" s="80"/>
      <c r="M79" s="80"/>
      <c r="N79" s="80"/>
      <c r="O79" s="4"/>
      <c r="P79" s="1"/>
    </row>
    <row r="80" spans="2:16">
      <c r="B80" s="1"/>
      <c r="C80" s="9"/>
      <c r="D80" s="2"/>
      <c r="E80" s="1"/>
      <c r="F80" s="17"/>
      <c r="G80" s="1"/>
      <c r="H80" s="3"/>
      <c r="I80" s="1"/>
      <c r="J80" s="4"/>
      <c r="K80" s="1"/>
      <c r="L80" s="1"/>
      <c r="M80" s="1"/>
      <c r="N80" s="1"/>
      <c r="O80" s="1"/>
      <c r="P80" s="1"/>
    </row>
    <row r="81" spans="1:16" ht="18">
      <c r="B81" s="1"/>
      <c r="C81" s="109"/>
      <c r="D81" s="2"/>
      <c r="E81" s="1"/>
      <c r="F81" s="17"/>
      <c r="G81" s="1"/>
      <c r="H81" s="3"/>
      <c r="I81" s="1"/>
      <c r="J81" s="4"/>
      <c r="K81" s="1"/>
      <c r="L81" s="1"/>
      <c r="M81" s="1"/>
      <c r="N81" s="1"/>
      <c r="P81" s="111" t="s">
        <v>128</v>
      </c>
    </row>
    <row r="82" spans="1:16">
      <c r="B82" s="1"/>
      <c r="C82" s="9"/>
      <c r="D82" s="2"/>
      <c r="E82" s="1"/>
      <c r="F82" s="17"/>
      <c r="G82" s="1"/>
      <c r="H82" s="3"/>
      <c r="I82" s="1"/>
      <c r="J82" s="4"/>
      <c r="K82" s="1"/>
      <c r="L82" s="1"/>
      <c r="M82" s="1"/>
      <c r="N82" s="1"/>
      <c r="O82" s="1"/>
      <c r="P82" s="1"/>
    </row>
    <row r="83" spans="1:16">
      <c r="B83" s="1"/>
      <c r="C83" s="9"/>
      <c r="D83" s="2"/>
      <c r="E83" s="1"/>
      <c r="F83" s="17"/>
      <c r="G83" s="1"/>
      <c r="H83" s="3"/>
      <c r="I83" s="1"/>
      <c r="J83" s="4"/>
      <c r="K83" s="1"/>
      <c r="L83" s="1"/>
      <c r="M83" s="1"/>
      <c r="N83" s="1"/>
      <c r="O83" s="1"/>
      <c r="P83" s="1"/>
    </row>
    <row r="84" spans="1:16" ht="20.25">
      <c r="A84" s="110" t="s">
        <v>190</v>
      </c>
      <c r="B84" s="1"/>
      <c r="C84" s="9"/>
      <c r="D84" s="2"/>
      <c r="E84" s="1"/>
      <c r="F84" s="14"/>
      <c r="G84" s="14"/>
      <c r="H84" s="1"/>
      <c r="I84" s="3"/>
      <c r="K84" s="7"/>
      <c r="L84" s="18"/>
      <c r="M84" s="18"/>
      <c r="P84" s="18" t="str">
        <f ca="1">P1</f>
        <v>OKT Project 20 of 23</v>
      </c>
    </row>
    <row r="85" spans="1:16" ht="18">
      <c r="B85" s="1"/>
      <c r="C85" s="1"/>
      <c r="D85" s="2"/>
      <c r="E85" s="1"/>
      <c r="F85" s="1"/>
      <c r="G85" s="1"/>
      <c r="H85" s="1"/>
      <c r="I85" s="3"/>
      <c r="J85" s="1"/>
      <c r="K85" s="4"/>
      <c r="L85" s="1"/>
      <c r="M85" s="1"/>
      <c r="P85" s="117" t="s">
        <v>132</v>
      </c>
    </row>
    <row r="86" spans="1:16" ht="18.75" thickBot="1">
      <c r="B86" s="5" t="s">
        <v>42</v>
      </c>
      <c r="C86" s="82" t="s">
        <v>81</v>
      </c>
      <c r="D86" s="2"/>
      <c r="E86" s="1"/>
      <c r="F86" s="1"/>
      <c r="G86" s="1"/>
      <c r="H86" s="1"/>
      <c r="I86" s="3"/>
      <c r="J86" s="3"/>
      <c r="K86" s="19"/>
      <c r="L86" s="3"/>
      <c r="M86" s="3"/>
      <c r="N86" s="3"/>
      <c r="O86" s="19"/>
      <c r="P86" s="1"/>
    </row>
    <row r="87" spans="1:16" ht="15.75" thickBot="1">
      <c r="C87" s="12"/>
      <c r="D87" s="2"/>
      <c r="E87" s="1"/>
      <c r="F87" s="1"/>
      <c r="G87" s="1"/>
      <c r="H87" s="1"/>
      <c r="I87" s="3"/>
      <c r="J87" s="3"/>
      <c r="K87" s="19"/>
      <c r="L87" s="118">
        <f>+J93</f>
        <v>2020</v>
      </c>
      <c r="M87" s="119" t="s">
        <v>9</v>
      </c>
      <c r="N87" s="120" t="s">
        <v>134</v>
      </c>
      <c r="O87" s="121" t="s">
        <v>11</v>
      </c>
      <c r="P87" s="1"/>
    </row>
    <row r="88" spans="1:16" ht="15">
      <c r="C88" s="107" t="s">
        <v>44</v>
      </c>
      <c r="D88" s="2"/>
      <c r="E88" s="1"/>
      <c r="F88" s="1"/>
      <c r="G88" s="1"/>
      <c r="H88" s="21"/>
      <c r="I88" s="1" t="s">
        <v>45</v>
      </c>
      <c r="J88" s="1"/>
      <c r="K88" s="122"/>
      <c r="L88" s="123" t="s">
        <v>253</v>
      </c>
      <c r="M88" s="83">
        <f>IF(J93&lt;D11,0,VLOOKUP(J93,C17:O73,9))</f>
        <v>235038.97436975082</v>
      </c>
      <c r="N88" s="83">
        <f>IF(J93&lt;D11,0,VLOOKUP(J93,C17:O73,11))</f>
        <v>235038.97436975082</v>
      </c>
      <c r="O88" s="84">
        <f>+N88-M88</f>
        <v>0</v>
      </c>
      <c r="P88" s="1"/>
    </row>
    <row r="89" spans="1:16" ht="15.75">
      <c r="C89" s="8"/>
      <c r="D89" s="2"/>
      <c r="E89" s="1"/>
      <c r="F89" s="1"/>
      <c r="G89" s="1"/>
      <c r="H89" s="1"/>
      <c r="I89" s="26"/>
      <c r="J89" s="26"/>
      <c r="K89" s="124"/>
      <c r="L89" s="125" t="s">
        <v>254</v>
      </c>
      <c r="M89" s="85">
        <f>IF(J93&lt;D11,0,VLOOKUP(J93,C100:P155,6))</f>
        <v>239662.05345541207</v>
      </c>
      <c r="N89" s="85">
        <f>IF(J93&lt;D11,0,VLOOKUP(J93,C100:P155,7))</f>
        <v>239662.05345541207</v>
      </c>
      <c r="O89" s="86">
        <f>+N89-M89</f>
        <v>0</v>
      </c>
      <c r="P89" s="1"/>
    </row>
    <row r="90" spans="1:16" ht="13.5" thickBot="1">
      <c r="C90" s="31" t="s">
        <v>82</v>
      </c>
      <c r="D90" s="113" t="str">
        <f>+D7</f>
        <v>Keystone Dam - Wekiwa 138 kV</v>
      </c>
      <c r="E90" s="1"/>
      <c r="F90" s="1"/>
      <c r="G90" s="1"/>
      <c r="H90" s="1"/>
      <c r="I90" s="3"/>
      <c r="J90" s="3"/>
      <c r="K90" s="126"/>
      <c r="L90" s="127" t="s">
        <v>135</v>
      </c>
      <c r="M90" s="88">
        <f>+M89-M88</f>
        <v>4623.0790856612439</v>
      </c>
      <c r="N90" s="88">
        <f>+N89-N88</f>
        <v>4623.0790856612439</v>
      </c>
      <c r="O90" s="89">
        <f>+O89-O88</f>
        <v>0</v>
      </c>
      <c r="P90" s="1"/>
    </row>
    <row r="91" spans="1:16" ht="13.5" thickBot="1">
      <c r="C91" s="79"/>
      <c r="D91" s="81" t="str">
        <f>IF(D8="","",D8)</f>
        <v/>
      </c>
      <c r="E91" s="17"/>
      <c r="F91" s="17"/>
      <c r="G91" s="17"/>
      <c r="H91" s="36"/>
      <c r="I91" s="3"/>
      <c r="J91" s="3"/>
      <c r="K91" s="19"/>
      <c r="L91" s="3"/>
      <c r="M91" s="3"/>
      <c r="N91" s="3"/>
      <c r="O91" s="19"/>
      <c r="P91" s="1"/>
    </row>
    <row r="92" spans="1:16" ht="13.5" thickBot="1">
      <c r="A92" s="16"/>
      <c r="C92" s="90" t="s">
        <v>83</v>
      </c>
      <c r="D92" s="105" t="str">
        <f>+D9</f>
        <v>TP2015118</v>
      </c>
      <c r="E92" s="91"/>
      <c r="F92" s="91"/>
      <c r="G92" s="91"/>
      <c r="H92" s="91"/>
      <c r="I92" s="91"/>
      <c r="J92" s="91"/>
      <c r="K92" s="92"/>
      <c r="P92" s="41"/>
    </row>
    <row r="93" spans="1:16">
      <c r="C93" s="46" t="s">
        <v>49</v>
      </c>
      <c r="D93" s="654">
        <v>3418188</v>
      </c>
      <c r="E93" s="9" t="s">
        <v>84</v>
      </c>
      <c r="H93" s="44"/>
      <c r="I93" s="44"/>
      <c r="J93" s="45">
        <f>+'OKT.WS.G.BPU.ATRR.True-up'!M16</f>
        <v>2020</v>
      </c>
      <c r="K93" s="40"/>
      <c r="L93" s="19" t="s">
        <v>85</v>
      </c>
      <c r="P93" s="4"/>
    </row>
    <row r="94" spans="1:16">
      <c r="C94" s="46" t="s">
        <v>52</v>
      </c>
      <c r="D94" s="102">
        <f>IF(D11="","",D11)</f>
        <v>2020</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c r="C95" s="46" t="s">
        <v>54</v>
      </c>
      <c r="D95" s="102">
        <f>IF(D12="","",D12)</f>
        <v>6</v>
      </c>
      <c r="E95" s="46" t="s">
        <v>55</v>
      </c>
      <c r="F95" s="44"/>
      <c r="G95" s="44"/>
      <c r="J95" s="50">
        <f>'OKT.WS.G.BPU.ATRR.True-up'!$F$81</f>
        <v>0.11475877389767174</v>
      </c>
      <c r="K95" s="51"/>
      <c r="L95" t="s">
        <v>86</v>
      </c>
      <c r="P95" s="4"/>
    </row>
    <row r="96" spans="1:16">
      <c r="C96" s="46" t="s">
        <v>57</v>
      </c>
      <c r="D96" s="48">
        <f>'OKT.WS.G.BPU.ATRR.True-up'!F$93</f>
        <v>21</v>
      </c>
      <c r="E96" s="46" t="s">
        <v>58</v>
      </c>
      <c r="F96" s="44"/>
      <c r="G96" s="44"/>
      <c r="J96" s="50">
        <f>IF(H88="",J95,'OKT.WS.G.BPU.ATRR.True-up'!$F$80)</f>
        <v>0.11475877389767174</v>
      </c>
      <c r="K96" s="10"/>
      <c r="L96" s="19" t="s">
        <v>59</v>
      </c>
      <c r="M96" s="10"/>
      <c r="N96" s="10"/>
      <c r="O96" s="10"/>
      <c r="P96" s="4"/>
    </row>
    <row r="97" spans="1:16" ht="13.5" thickBot="1">
      <c r="C97" s="46" t="s">
        <v>60</v>
      </c>
      <c r="D97" s="103" t="str">
        <f>+D14</f>
        <v>No</v>
      </c>
      <c r="E97" s="87" t="s">
        <v>62</v>
      </c>
      <c r="F97" s="93"/>
      <c r="G97" s="93"/>
      <c r="H97" s="94"/>
      <c r="I97" s="94"/>
      <c r="J97" s="34">
        <f>IF(D93=0,0,D93/D96)</f>
        <v>162770.85714285713</v>
      </c>
      <c r="K97" s="19"/>
      <c r="L97" s="19"/>
      <c r="M97" s="19"/>
      <c r="N97" s="19"/>
      <c r="O97" s="19"/>
      <c r="P97" s="4"/>
    </row>
    <row r="98" spans="1:16" ht="38.25">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c r="B100" t="str">
        <f t="shared" ref="B100:B155" si="10">IF(D100=F99,"","IU")</f>
        <v>IU</v>
      </c>
      <c r="C100" s="62">
        <f>IF(D94= "","-",D94)</f>
        <v>2020</v>
      </c>
      <c r="D100" s="63">
        <v>0</v>
      </c>
      <c r="E100" s="70">
        <v>61039.07142857142</v>
      </c>
      <c r="F100" s="68">
        <v>3357148.9285714286</v>
      </c>
      <c r="G100" s="98">
        <v>1678574.4642857143</v>
      </c>
      <c r="H100" s="98">
        <v>239662.05345541207</v>
      </c>
      <c r="I100" s="98">
        <v>239662.05345541207</v>
      </c>
      <c r="J100" s="67">
        <f t="shared" ref="J100:J131" si="11">+I100-H100</f>
        <v>0</v>
      </c>
      <c r="K100" s="67"/>
      <c r="L100" s="506">
        <f>+H100</f>
        <v>239662.05345541207</v>
      </c>
      <c r="M100" s="653">
        <f t="shared" ref="M100" si="12">IF(L100&lt;&gt;0,+H100-L100,0)</f>
        <v>0</v>
      </c>
      <c r="N100" s="506">
        <f>+I100</f>
        <v>239662.05345541207</v>
      </c>
      <c r="O100" s="66">
        <f t="shared" ref="O100:O131" si="13">IF(N100&lt;&gt;0,+I100-N100,0)</f>
        <v>0</v>
      </c>
      <c r="P100" s="66">
        <f t="shared" ref="P100:P131" si="14">+O100-M100</f>
        <v>0</v>
      </c>
    </row>
    <row r="101" spans="1:16">
      <c r="B101" t="str">
        <f t="shared" si="10"/>
        <v/>
      </c>
      <c r="C101" s="62">
        <f>IF(D94="","-",+C100+1)</f>
        <v>2021</v>
      </c>
      <c r="D101" s="648">
        <f>IF(F100+SUM(E$100:E100)=D$93,F100,D$93-SUM(E$100:E100))</f>
        <v>3357148.9285714286</v>
      </c>
      <c r="E101" s="509">
        <f t="shared" ref="E101:E155" si="15">IF(+J$97&lt;F100,J$97,D101)</f>
        <v>162770.85714285713</v>
      </c>
      <c r="F101" s="649">
        <f t="shared" ref="F101:F155" si="16">+D101-E101</f>
        <v>3194378.0714285714</v>
      </c>
      <c r="G101" s="649">
        <f t="shared" ref="G101:G155" si="17">+(F101+D101)/2</f>
        <v>3275763.5</v>
      </c>
      <c r="H101" s="650">
        <f t="shared" ref="H101:H155" si="18">(D101+F101)/2*J$95+E101</f>
        <v>538693.45998160297</v>
      </c>
      <c r="I101" s="628">
        <f t="shared" ref="I101:I155" si="19">+J$96*G101+E101</f>
        <v>538693.45998160297</v>
      </c>
      <c r="J101" s="67">
        <f t="shared" si="11"/>
        <v>0</v>
      </c>
      <c r="K101" s="67"/>
      <c r="L101" s="130"/>
      <c r="M101" s="67">
        <f t="shared" ref="M101:M131" si="20">IF(L101&lt;&gt;0,+H101-L101,0)</f>
        <v>0</v>
      </c>
      <c r="N101" s="130"/>
      <c r="O101" s="67">
        <f t="shared" si="13"/>
        <v>0</v>
      </c>
      <c r="P101" s="67">
        <f t="shared" si="14"/>
        <v>0</v>
      </c>
    </row>
    <row r="102" spans="1:16">
      <c r="B102" t="str">
        <f t="shared" si="10"/>
        <v/>
      </c>
      <c r="C102" s="62">
        <f>IF(D94="","-",+C101+1)</f>
        <v>2022</v>
      </c>
      <c r="D102" s="648">
        <f>IF(F101+SUM(E$100:E101)=D$93,F101,D$93-SUM(E$100:E101))</f>
        <v>3194378.0714285714</v>
      </c>
      <c r="E102" s="509">
        <f t="shared" si="15"/>
        <v>162770.85714285713</v>
      </c>
      <c r="F102" s="649">
        <f t="shared" si="16"/>
        <v>3031607.2142857141</v>
      </c>
      <c r="G102" s="649">
        <f t="shared" si="17"/>
        <v>3112992.6428571427</v>
      </c>
      <c r="H102" s="650">
        <f t="shared" si="18"/>
        <v>520014.07598961552</v>
      </c>
      <c r="I102" s="628">
        <f t="shared" si="19"/>
        <v>520014.07598961552</v>
      </c>
      <c r="J102" s="67">
        <f t="shared" si="11"/>
        <v>0</v>
      </c>
      <c r="K102" s="67"/>
      <c r="L102" s="130"/>
      <c r="M102" s="67">
        <f t="shared" si="20"/>
        <v>0</v>
      </c>
      <c r="N102" s="130"/>
      <c r="O102" s="67">
        <f t="shared" si="13"/>
        <v>0</v>
      </c>
      <c r="P102" s="67">
        <f t="shared" si="14"/>
        <v>0</v>
      </c>
    </row>
    <row r="103" spans="1:16">
      <c r="B103" t="str">
        <f t="shared" si="10"/>
        <v/>
      </c>
      <c r="C103" s="62">
        <f>IF(D94="","-",+C102+1)</f>
        <v>2023</v>
      </c>
      <c r="D103" s="648">
        <f>IF(F102+SUM(E$100:E102)=D$93,F102,D$93-SUM(E$100:E102))</f>
        <v>3031607.2142857141</v>
      </c>
      <c r="E103" s="509">
        <f t="shared" si="15"/>
        <v>162770.85714285713</v>
      </c>
      <c r="F103" s="649">
        <f t="shared" si="16"/>
        <v>2868836.3571428568</v>
      </c>
      <c r="G103" s="649">
        <f t="shared" si="17"/>
        <v>2950221.7857142854</v>
      </c>
      <c r="H103" s="650">
        <f t="shared" si="18"/>
        <v>501334.69199762819</v>
      </c>
      <c r="I103" s="628">
        <f t="shared" si="19"/>
        <v>501334.69199762819</v>
      </c>
      <c r="J103" s="67">
        <f t="shared" si="11"/>
        <v>0</v>
      </c>
      <c r="K103" s="67"/>
      <c r="L103" s="130"/>
      <c r="M103" s="67">
        <f t="shared" si="20"/>
        <v>0</v>
      </c>
      <c r="N103" s="130"/>
      <c r="O103" s="67">
        <f t="shared" si="13"/>
        <v>0</v>
      </c>
      <c r="P103" s="67">
        <f t="shared" si="14"/>
        <v>0</v>
      </c>
    </row>
    <row r="104" spans="1:16">
      <c r="B104" t="str">
        <f t="shared" si="10"/>
        <v/>
      </c>
      <c r="C104" s="62">
        <f>IF(D94="","-",+C103+1)</f>
        <v>2024</v>
      </c>
      <c r="D104" s="648">
        <f>IF(F103+SUM(E$100:E103)=D$93,F103,D$93-SUM(E$100:E103))</f>
        <v>2868836.3571428568</v>
      </c>
      <c r="E104" s="509">
        <f t="shared" si="15"/>
        <v>162770.85714285713</v>
      </c>
      <c r="F104" s="649">
        <f t="shared" si="16"/>
        <v>2706065.4999999995</v>
      </c>
      <c r="G104" s="649">
        <f t="shared" si="17"/>
        <v>2787450.9285714282</v>
      </c>
      <c r="H104" s="650">
        <f t="shared" si="18"/>
        <v>482655.30800564075</v>
      </c>
      <c r="I104" s="628">
        <f t="shared" si="19"/>
        <v>482655.30800564075</v>
      </c>
      <c r="J104" s="67">
        <f t="shared" si="11"/>
        <v>0</v>
      </c>
      <c r="K104" s="67"/>
      <c r="L104" s="130"/>
      <c r="M104" s="67">
        <f t="shared" si="20"/>
        <v>0</v>
      </c>
      <c r="N104" s="130"/>
      <c r="O104" s="67">
        <f t="shared" si="13"/>
        <v>0</v>
      </c>
      <c r="P104" s="67">
        <f t="shared" si="14"/>
        <v>0</v>
      </c>
    </row>
    <row r="105" spans="1:16">
      <c r="B105" t="str">
        <f t="shared" si="10"/>
        <v/>
      </c>
      <c r="C105" s="62">
        <f>IF(D94="","-",+C104+1)</f>
        <v>2025</v>
      </c>
      <c r="D105" s="648">
        <f>IF(F104+SUM(E$100:E104)=D$93,F104,D$93-SUM(E$100:E104))</f>
        <v>2706065.4999999995</v>
      </c>
      <c r="E105" s="509">
        <f t="shared" si="15"/>
        <v>162770.85714285713</v>
      </c>
      <c r="F105" s="649">
        <f t="shared" si="16"/>
        <v>2543294.6428571423</v>
      </c>
      <c r="G105" s="649">
        <f t="shared" si="17"/>
        <v>2624680.0714285709</v>
      </c>
      <c r="H105" s="650">
        <f t="shared" si="18"/>
        <v>463975.92401365342</v>
      </c>
      <c r="I105" s="628">
        <f t="shared" si="19"/>
        <v>463975.92401365342</v>
      </c>
      <c r="J105" s="67">
        <f t="shared" si="11"/>
        <v>0</v>
      </c>
      <c r="K105" s="67"/>
      <c r="L105" s="130"/>
      <c r="M105" s="67">
        <f t="shared" si="20"/>
        <v>0</v>
      </c>
      <c r="N105" s="130"/>
      <c r="O105" s="67">
        <f t="shared" si="13"/>
        <v>0</v>
      </c>
      <c r="P105" s="67">
        <f t="shared" si="14"/>
        <v>0</v>
      </c>
    </row>
    <row r="106" spans="1:16">
      <c r="B106" t="str">
        <f t="shared" si="10"/>
        <v/>
      </c>
      <c r="C106" s="62">
        <f>IF(D94="","-",+C105+1)</f>
        <v>2026</v>
      </c>
      <c r="D106" s="648">
        <f>IF(F105+SUM(E$100:E105)=D$93,F105,D$93-SUM(E$100:E105))</f>
        <v>2543294.6428571423</v>
      </c>
      <c r="E106" s="509">
        <f t="shared" si="15"/>
        <v>162770.85714285713</v>
      </c>
      <c r="F106" s="649">
        <f t="shared" si="16"/>
        <v>2380523.785714285</v>
      </c>
      <c r="G106" s="649">
        <f t="shared" si="17"/>
        <v>2461909.2142857136</v>
      </c>
      <c r="H106" s="650">
        <f t="shared" si="18"/>
        <v>445296.54002166598</v>
      </c>
      <c r="I106" s="628">
        <f t="shared" si="19"/>
        <v>445296.54002166598</v>
      </c>
      <c r="J106" s="67">
        <f t="shared" si="11"/>
        <v>0</v>
      </c>
      <c r="K106" s="67"/>
      <c r="L106" s="130"/>
      <c r="M106" s="67">
        <f t="shared" si="20"/>
        <v>0</v>
      </c>
      <c r="N106" s="130"/>
      <c r="O106" s="67">
        <f t="shared" si="13"/>
        <v>0</v>
      </c>
      <c r="P106" s="67">
        <f t="shared" si="14"/>
        <v>0</v>
      </c>
    </row>
    <row r="107" spans="1:16">
      <c r="B107" t="str">
        <f t="shared" si="10"/>
        <v/>
      </c>
      <c r="C107" s="62">
        <f>IF(D94="","-",+C106+1)</f>
        <v>2027</v>
      </c>
      <c r="D107" s="648">
        <f>IF(F106+SUM(E$100:E106)=D$93,F106,D$93-SUM(E$100:E106))</f>
        <v>2380523.785714285</v>
      </c>
      <c r="E107" s="509">
        <f t="shared" si="15"/>
        <v>162770.85714285713</v>
      </c>
      <c r="F107" s="649">
        <f t="shared" si="16"/>
        <v>2217752.9285714277</v>
      </c>
      <c r="G107" s="649">
        <f t="shared" si="17"/>
        <v>2299138.3571428563</v>
      </c>
      <c r="H107" s="650">
        <f t="shared" si="18"/>
        <v>426617.15602967865</v>
      </c>
      <c r="I107" s="628">
        <f t="shared" si="19"/>
        <v>426617.15602967865</v>
      </c>
      <c r="J107" s="67">
        <f t="shared" si="11"/>
        <v>0</v>
      </c>
      <c r="K107" s="67"/>
      <c r="L107" s="130"/>
      <c r="M107" s="67">
        <f t="shared" si="20"/>
        <v>0</v>
      </c>
      <c r="N107" s="130"/>
      <c r="O107" s="67">
        <f t="shared" si="13"/>
        <v>0</v>
      </c>
      <c r="P107" s="67">
        <f t="shared" si="14"/>
        <v>0</v>
      </c>
    </row>
    <row r="108" spans="1:16">
      <c r="B108" t="str">
        <f t="shared" si="10"/>
        <v/>
      </c>
      <c r="C108" s="62">
        <f>IF(D94="","-",+C107+1)</f>
        <v>2028</v>
      </c>
      <c r="D108" s="648">
        <f>IF(F107+SUM(E$100:E107)=D$93,F107,D$93-SUM(E$100:E107))</f>
        <v>2217752.9285714277</v>
      </c>
      <c r="E108" s="509">
        <f t="shared" si="15"/>
        <v>162770.85714285713</v>
      </c>
      <c r="F108" s="649">
        <f t="shared" si="16"/>
        <v>2054982.0714285707</v>
      </c>
      <c r="G108" s="649">
        <f t="shared" si="17"/>
        <v>2136367.4999999991</v>
      </c>
      <c r="H108" s="650">
        <f t="shared" si="18"/>
        <v>407937.77203769126</v>
      </c>
      <c r="I108" s="628">
        <f t="shared" si="19"/>
        <v>407937.77203769126</v>
      </c>
      <c r="J108" s="67">
        <f t="shared" si="11"/>
        <v>0</v>
      </c>
      <c r="K108" s="67"/>
      <c r="L108" s="130"/>
      <c r="M108" s="67">
        <f t="shared" si="20"/>
        <v>0</v>
      </c>
      <c r="N108" s="130"/>
      <c r="O108" s="67">
        <f t="shared" si="13"/>
        <v>0</v>
      </c>
      <c r="P108" s="67">
        <f t="shared" si="14"/>
        <v>0</v>
      </c>
    </row>
    <row r="109" spans="1:16">
      <c r="B109" t="str">
        <f t="shared" si="10"/>
        <v/>
      </c>
      <c r="C109" s="62">
        <f>IF(D94="","-",+C108+1)</f>
        <v>2029</v>
      </c>
      <c r="D109" s="648">
        <f>IF(F108+SUM(E$100:E108)=D$93,F108,D$93-SUM(E$100:E108))</f>
        <v>2054982.0714285707</v>
      </c>
      <c r="E109" s="509">
        <f t="shared" si="15"/>
        <v>162770.85714285713</v>
      </c>
      <c r="F109" s="649">
        <f t="shared" si="16"/>
        <v>1892211.2142857136</v>
      </c>
      <c r="G109" s="649">
        <f t="shared" si="17"/>
        <v>1973596.6428571423</v>
      </c>
      <c r="H109" s="650">
        <f t="shared" si="18"/>
        <v>389258.38804570388</v>
      </c>
      <c r="I109" s="628">
        <f t="shared" si="19"/>
        <v>389258.38804570388</v>
      </c>
      <c r="J109" s="67">
        <f t="shared" si="11"/>
        <v>0</v>
      </c>
      <c r="K109" s="67"/>
      <c r="L109" s="130"/>
      <c r="M109" s="67">
        <f t="shared" si="20"/>
        <v>0</v>
      </c>
      <c r="N109" s="130"/>
      <c r="O109" s="67">
        <f t="shared" si="13"/>
        <v>0</v>
      </c>
      <c r="P109" s="67">
        <f t="shared" si="14"/>
        <v>0</v>
      </c>
    </row>
    <row r="110" spans="1:16">
      <c r="B110" t="str">
        <f t="shared" si="10"/>
        <v/>
      </c>
      <c r="C110" s="62">
        <f>IF(D94="","-",+C109+1)</f>
        <v>2030</v>
      </c>
      <c r="D110" s="648">
        <f>IF(F109+SUM(E$100:E109)=D$93,F109,D$93-SUM(E$100:E109))</f>
        <v>1892211.2142857136</v>
      </c>
      <c r="E110" s="509">
        <f t="shared" si="15"/>
        <v>162770.85714285713</v>
      </c>
      <c r="F110" s="649">
        <f t="shared" si="16"/>
        <v>1729440.3571428566</v>
      </c>
      <c r="G110" s="649">
        <f t="shared" si="17"/>
        <v>1810825.785714285</v>
      </c>
      <c r="H110" s="650">
        <f t="shared" si="18"/>
        <v>370579.00405371655</v>
      </c>
      <c r="I110" s="628">
        <f t="shared" si="19"/>
        <v>370579.00405371655</v>
      </c>
      <c r="J110" s="67">
        <f t="shared" si="11"/>
        <v>0</v>
      </c>
      <c r="K110" s="67"/>
      <c r="L110" s="130"/>
      <c r="M110" s="67">
        <f t="shared" si="20"/>
        <v>0</v>
      </c>
      <c r="N110" s="130"/>
      <c r="O110" s="67">
        <f t="shared" si="13"/>
        <v>0</v>
      </c>
      <c r="P110" s="67">
        <f t="shared" si="14"/>
        <v>0</v>
      </c>
    </row>
    <row r="111" spans="1:16">
      <c r="B111" t="str">
        <f t="shared" si="10"/>
        <v/>
      </c>
      <c r="C111" s="62">
        <f>IF(D94="","-",+C110+1)</f>
        <v>2031</v>
      </c>
      <c r="D111" s="648">
        <f>IF(F110+SUM(E$100:E110)=D$93,F110,D$93-SUM(E$100:E110))</f>
        <v>1729440.3571428566</v>
      </c>
      <c r="E111" s="509">
        <f t="shared" si="15"/>
        <v>162770.85714285713</v>
      </c>
      <c r="F111" s="649">
        <f t="shared" si="16"/>
        <v>1566669.4999999995</v>
      </c>
      <c r="G111" s="649">
        <f t="shared" si="17"/>
        <v>1648054.9285714282</v>
      </c>
      <c r="H111" s="650">
        <f t="shared" si="18"/>
        <v>351899.62006172922</v>
      </c>
      <c r="I111" s="628">
        <f t="shared" si="19"/>
        <v>351899.62006172922</v>
      </c>
      <c r="J111" s="67">
        <f t="shared" si="11"/>
        <v>0</v>
      </c>
      <c r="K111" s="67"/>
      <c r="L111" s="130"/>
      <c r="M111" s="67">
        <f t="shared" si="20"/>
        <v>0</v>
      </c>
      <c r="N111" s="130"/>
      <c r="O111" s="67">
        <f t="shared" si="13"/>
        <v>0</v>
      </c>
      <c r="P111" s="67">
        <f t="shared" si="14"/>
        <v>0</v>
      </c>
    </row>
    <row r="112" spans="1:16">
      <c r="B112" t="str">
        <f t="shared" si="10"/>
        <v/>
      </c>
      <c r="C112" s="62">
        <f>IF(D94="","-",+C111+1)</f>
        <v>2032</v>
      </c>
      <c r="D112" s="648">
        <f>IF(F111+SUM(E$100:E111)=D$93,F111,D$93-SUM(E$100:E111))</f>
        <v>1566669.4999999995</v>
      </c>
      <c r="E112" s="509">
        <f t="shared" si="15"/>
        <v>162770.85714285713</v>
      </c>
      <c r="F112" s="649">
        <f t="shared" si="16"/>
        <v>1403898.6428571425</v>
      </c>
      <c r="G112" s="649">
        <f t="shared" si="17"/>
        <v>1485284.0714285709</v>
      </c>
      <c r="H112" s="650">
        <f t="shared" si="18"/>
        <v>333220.23606974178</v>
      </c>
      <c r="I112" s="628">
        <f t="shared" si="19"/>
        <v>333220.23606974178</v>
      </c>
      <c r="J112" s="67">
        <f t="shared" si="11"/>
        <v>0</v>
      </c>
      <c r="K112" s="67"/>
      <c r="L112" s="130"/>
      <c r="M112" s="67">
        <f t="shared" si="20"/>
        <v>0</v>
      </c>
      <c r="N112" s="130"/>
      <c r="O112" s="67">
        <f t="shared" si="13"/>
        <v>0</v>
      </c>
      <c r="P112" s="67">
        <f t="shared" si="14"/>
        <v>0</v>
      </c>
    </row>
    <row r="113" spans="2:16">
      <c r="B113" t="str">
        <f t="shared" si="10"/>
        <v/>
      </c>
      <c r="C113" s="62">
        <f>IF(D94="","-",+C112+1)</f>
        <v>2033</v>
      </c>
      <c r="D113" s="648">
        <f>IF(F112+SUM(E$100:E112)=D$93,F112,D$93-SUM(E$100:E112))</f>
        <v>1403898.6428571425</v>
      </c>
      <c r="E113" s="509">
        <f t="shared" si="15"/>
        <v>162770.85714285713</v>
      </c>
      <c r="F113" s="649">
        <f t="shared" si="16"/>
        <v>1241127.7857142854</v>
      </c>
      <c r="G113" s="649">
        <f t="shared" si="17"/>
        <v>1322513.2142857141</v>
      </c>
      <c r="H113" s="650">
        <f t="shared" si="18"/>
        <v>314540.85207775445</v>
      </c>
      <c r="I113" s="628">
        <f t="shared" si="19"/>
        <v>314540.85207775445</v>
      </c>
      <c r="J113" s="67">
        <f t="shared" si="11"/>
        <v>0</v>
      </c>
      <c r="K113" s="67"/>
      <c r="L113" s="130"/>
      <c r="M113" s="67">
        <f t="shared" si="20"/>
        <v>0</v>
      </c>
      <c r="N113" s="130"/>
      <c r="O113" s="67">
        <f t="shared" si="13"/>
        <v>0</v>
      </c>
      <c r="P113" s="67">
        <f t="shared" si="14"/>
        <v>0</v>
      </c>
    </row>
    <row r="114" spans="2:16">
      <c r="B114" t="str">
        <f t="shared" si="10"/>
        <v/>
      </c>
      <c r="C114" s="62">
        <f>IF(D94="","-",+C113+1)</f>
        <v>2034</v>
      </c>
      <c r="D114" s="648">
        <f>IF(F113+SUM(E$100:E113)=D$93,F113,D$93-SUM(E$100:E113))</f>
        <v>1241127.7857142854</v>
      </c>
      <c r="E114" s="509">
        <f t="shared" si="15"/>
        <v>162770.85714285713</v>
      </c>
      <c r="F114" s="649">
        <f t="shared" si="16"/>
        <v>1078356.9285714284</v>
      </c>
      <c r="G114" s="649">
        <f t="shared" si="17"/>
        <v>1159742.3571428568</v>
      </c>
      <c r="H114" s="650">
        <f t="shared" si="18"/>
        <v>295861.46808576712</v>
      </c>
      <c r="I114" s="628">
        <f t="shared" si="19"/>
        <v>295861.46808576712</v>
      </c>
      <c r="J114" s="67">
        <f t="shared" si="11"/>
        <v>0</v>
      </c>
      <c r="K114" s="67"/>
      <c r="L114" s="130"/>
      <c r="M114" s="67">
        <f t="shared" si="20"/>
        <v>0</v>
      </c>
      <c r="N114" s="130"/>
      <c r="O114" s="67">
        <f t="shared" si="13"/>
        <v>0</v>
      </c>
      <c r="P114" s="67">
        <f t="shared" si="14"/>
        <v>0</v>
      </c>
    </row>
    <row r="115" spans="2:16">
      <c r="B115" t="str">
        <f t="shared" si="10"/>
        <v/>
      </c>
      <c r="C115" s="62">
        <f>IF(D94="","-",+C114+1)</f>
        <v>2035</v>
      </c>
      <c r="D115" s="648">
        <f>IF(F114+SUM(E$100:E114)=D$93,F114,D$93-SUM(E$100:E114))</f>
        <v>1078356.9285714284</v>
      </c>
      <c r="E115" s="509">
        <f t="shared" si="15"/>
        <v>162770.85714285713</v>
      </c>
      <c r="F115" s="649">
        <f t="shared" si="16"/>
        <v>915586.07142857125</v>
      </c>
      <c r="G115" s="649">
        <f t="shared" si="17"/>
        <v>996971.49999999977</v>
      </c>
      <c r="H115" s="650">
        <f t="shared" si="18"/>
        <v>277182.08409377973</v>
      </c>
      <c r="I115" s="628">
        <f t="shared" si="19"/>
        <v>277182.08409377973</v>
      </c>
      <c r="J115" s="67">
        <f t="shared" si="11"/>
        <v>0</v>
      </c>
      <c r="K115" s="67"/>
      <c r="L115" s="130"/>
      <c r="M115" s="67">
        <f t="shared" si="20"/>
        <v>0</v>
      </c>
      <c r="N115" s="130"/>
      <c r="O115" s="67">
        <f t="shared" si="13"/>
        <v>0</v>
      </c>
      <c r="P115" s="67">
        <f t="shared" si="14"/>
        <v>0</v>
      </c>
    </row>
    <row r="116" spans="2:16">
      <c r="B116" t="str">
        <f t="shared" si="10"/>
        <v/>
      </c>
      <c r="C116" s="62">
        <f>IF(D94="","-",+C115+1)</f>
        <v>2036</v>
      </c>
      <c r="D116" s="648">
        <f>IF(F115+SUM(E$100:E115)=D$93,F115,D$93-SUM(E$100:E115))</f>
        <v>915586.07142857125</v>
      </c>
      <c r="E116" s="509">
        <f t="shared" si="15"/>
        <v>162770.85714285713</v>
      </c>
      <c r="F116" s="649">
        <f t="shared" si="16"/>
        <v>752815.21428571409</v>
      </c>
      <c r="G116" s="649">
        <f t="shared" si="17"/>
        <v>834200.64285714272</v>
      </c>
      <c r="H116" s="650">
        <f t="shared" si="18"/>
        <v>258502.7001017924</v>
      </c>
      <c r="I116" s="628">
        <f t="shared" si="19"/>
        <v>258502.7001017924</v>
      </c>
      <c r="J116" s="67">
        <f t="shared" si="11"/>
        <v>0</v>
      </c>
      <c r="K116" s="67"/>
      <c r="L116" s="130"/>
      <c r="M116" s="67">
        <f t="shared" si="20"/>
        <v>0</v>
      </c>
      <c r="N116" s="130"/>
      <c r="O116" s="67">
        <f t="shared" si="13"/>
        <v>0</v>
      </c>
      <c r="P116" s="67">
        <f t="shared" si="14"/>
        <v>0</v>
      </c>
    </row>
    <row r="117" spans="2:16">
      <c r="B117" t="str">
        <f t="shared" si="10"/>
        <v/>
      </c>
      <c r="C117" s="62">
        <f>IF(D94="","-",+C116+1)</f>
        <v>2037</v>
      </c>
      <c r="D117" s="648">
        <f>IF(F116+SUM(E$100:E116)=D$93,F116,D$93-SUM(E$100:E116))</f>
        <v>752815.21428571409</v>
      </c>
      <c r="E117" s="509">
        <f t="shared" si="15"/>
        <v>162770.85714285713</v>
      </c>
      <c r="F117" s="649">
        <f t="shared" si="16"/>
        <v>590044.35714285693</v>
      </c>
      <c r="G117" s="649">
        <f t="shared" si="17"/>
        <v>671429.78571428545</v>
      </c>
      <c r="H117" s="650">
        <f t="shared" si="18"/>
        <v>239823.31610980502</v>
      </c>
      <c r="I117" s="628">
        <f t="shared" si="19"/>
        <v>239823.31610980502</v>
      </c>
      <c r="J117" s="67">
        <f t="shared" si="11"/>
        <v>0</v>
      </c>
      <c r="K117" s="67"/>
      <c r="L117" s="130"/>
      <c r="M117" s="67">
        <f t="shared" si="20"/>
        <v>0</v>
      </c>
      <c r="N117" s="130"/>
      <c r="O117" s="67">
        <f t="shared" si="13"/>
        <v>0</v>
      </c>
      <c r="P117" s="67">
        <f t="shared" si="14"/>
        <v>0</v>
      </c>
    </row>
    <row r="118" spans="2:16">
      <c r="B118" t="str">
        <f t="shared" si="10"/>
        <v/>
      </c>
      <c r="C118" s="62">
        <f>IF(D94="","-",+C117+1)</f>
        <v>2038</v>
      </c>
      <c r="D118" s="648">
        <f>IF(F117+SUM(E$100:E117)=D$93,F117,D$93-SUM(E$100:E117))</f>
        <v>590044.35714285693</v>
      </c>
      <c r="E118" s="509">
        <f t="shared" si="15"/>
        <v>162770.85714285713</v>
      </c>
      <c r="F118" s="649">
        <f t="shared" si="16"/>
        <v>427273.49999999977</v>
      </c>
      <c r="G118" s="649">
        <f t="shared" si="17"/>
        <v>508658.92857142835</v>
      </c>
      <c r="H118" s="650">
        <f t="shared" si="18"/>
        <v>221143.93211781763</v>
      </c>
      <c r="I118" s="628">
        <f t="shared" si="19"/>
        <v>221143.93211781763</v>
      </c>
      <c r="J118" s="67">
        <f t="shared" si="11"/>
        <v>0</v>
      </c>
      <c r="K118" s="67"/>
      <c r="L118" s="130"/>
      <c r="M118" s="67">
        <f t="shared" si="20"/>
        <v>0</v>
      </c>
      <c r="N118" s="130"/>
      <c r="O118" s="67">
        <f t="shared" si="13"/>
        <v>0</v>
      </c>
      <c r="P118" s="67">
        <f t="shared" si="14"/>
        <v>0</v>
      </c>
    </row>
    <row r="119" spans="2:16">
      <c r="B119" t="str">
        <f t="shared" si="10"/>
        <v/>
      </c>
      <c r="C119" s="62">
        <f>IF(D94="","-",+C118+1)</f>
        <v>2039</v>
      </c>
      <c r="D119" s="648">
        <f>IF(F118+SUM(E$100:E118)=D$93,F118,D$93-SUM(E$100:E118))</f>
        <v>427273.49999999977</v>
      </c>
      <c r="E119" s="509">
        <f t="shared" si="15"/>
        <v>162770.85714285713</v>
      </c>
      <c r="F119" s="649">
        <f t="shared" si="16"/>
        <v>264502.64285714261</v>
      </c>
      <c r="G119" s="649">
        <f t="shared" si="17"/>
        <v>345888.07142857119</v>
      </c>
      <c r="H119" s="650">
        <f t="shared" si="18"/>
        <v>202464.54812583025</v>
      </c>
      <c r="I119" s="628">
        <f t="shared" si="19"/>
        <v>202464.54812583025</v>
      </c>
      <c r="J119" s="67">
        <f t="shared" si="11"/>
        <v>0</v>
      </c>
      <c r="K119" s="67"/>
      <c r="L119" s="130"/>
      <c r="M119" s="67">
        <f t="shared" si="20"/>
        <v>0</v>
      </c>
      <c r="N119" s="130"/>
      <c r="O119" s="67">
        <f t="shared" si="13"/>
        <v>0</v>
      </c>
      <c r="P119" s="67">
        <f t="shared" si="14"/>
        <v>0</v>
      </c>
    </row>
    <row r="120" spans="2:16">
      <c r="B120" t="str">
        <f t="shared" si="10"/>
        <v/>
      </c>
      <c r="C120" s="62">
        <f>IF(D94="","-",+C119+1)</f>
        <v>2040</v>
      </c>
      <c r="D120" s="648">
        <f>IF(F119+SUM(E$100:E119)=D$93,F119,D$93-SUM(E$100:E119))</f>
        <v>264502.64285714261</v>
      </c>
      <c r="E120" s="509">
        <f t="shared" si="15"/>
        <v>162770.85714285713</v>
      </c>
      <c r="F120" s="649">
        <f t="shared" si="16"/>
        <v>101731.78571428548</v>
      </c>
      <c r="G120" s="649">
        <f t="shared" si="17"/>
        <v>183117.21428571403</v>
      </c>
      <c r="H120" s="650">
        <f t="shared" si="18"/>
        <v>183785.16413384289</v>
      </c>
      <c r="I120" s="628">
        <f t="shared" si="19"/>
        <v>183785.16413384289</v>
      </c>
      <c r="J120" s="67">
        <f t="shared" si="11"/>
        <v>0</v>
      </c>
      <c r="K120" s="67"/>
      <c r="L120" s="130"/>
      <c r="M120" s="67">
        <f t="shared" si="20"/>
        <v>0</v>
      </c>
      <c r="N120" s="130"/>
      <c r="O120" s="67">
        <f t="shared" si="13"/>
        <v>0</v>
      </c>
      <c r="P120" s="67">
        <f t="shared" si="14"/>
        <v>0</v>
      </c>
    </row>
    <row r="121" spans="2:16">
      <c r="B121" t="str">
        <f t="shared" si="10"/>
        <v/>
      </c>
      <c r="C121" s="62">
        <f>IF(D94="","-",+C120+1)</f>
        <v>2041</v>
      </c>
      <c r="D121" s="648">
        <f>IF(F120+SUM(E$100:E120)=D$93,F120,D$93-SUM(E$100:E120))</f>
        <v>101731.78571428548</v>
      </c>
      <c r="E121" s="509">
        <f t="shared" si="15"/>
        <v>101731.78571428548</v>
      </c>
      <c r="F121" s="649">
        <f t="shared" si="16"/>
        <v>0</v>
      </c>
      <c r="G121" s="649">
        <f t="shared" si="17"/>
        <v>50865.892857142739</v>
      </c>
      <c r="H121" s="650">
        <f t="shared" si="18"/>
        <v>107569.09321178151</v>
      </c>
      <c r="I121" s="628">
        <f t="shared" si="19"/>
        <v>107569.09321178151</v>
      </c>
      <c r="J121" s="67">
        <f t="shared" si="11"/>
        <v>0</v>
      </c>
      <c r="K121" s="67"/>
      <c r="L121" s="130"/>
      <c r="M121" s="67">
        <f t="shared" si="20"/>
        <v>0</v>
      </c>
      <c r="N121" s="130"/>
      <c r="O121" s="67">
        <f t="shared" si="13"/>
        <v>0</v>
      </c>
      <c r="P121" s="67">
        <f t="shared" si="14"/>
        <v>0</v>
      </c>
    </row>
    <row r="122" spans="2:16">
      <c r="B122" t="str">
        <f t="shared" si="10"/>
        <v/>
      </c>
      <c r="C122" s="62">
        <f>IF(D94="","-",+C121+1)</f>
        <v>2042</v>
      </c>
      <c r="D122" s="648">
        <f>IF(F121+SUM(E$100:E121)=D$93,F121,D$93-SUM(E$100:E121))</f>
        <v>0</v>
      </c>
      <c r="E122" s="509">
        <f t="shared" si="15"/>
        <v>0</v>
      </c>
      <c r="F122" s="649">
        <f t="shared" si="16"/>
        <v>0</v>
      </c>
      <c r="G122" s="649">
        <f t="shared" si="17"/>
        <v>0</v>
      </c>
      <c r="H122" s="650">
        <f t="shared" si="18"/>
        <v>0</v>
      </c>
      <c r="I122" s="628">
        <f t="shared" si="19"/>
        <v>0</v>
      </c>
      <c r="J122" s="67">
        <f t="shared" si="11"/>
        <v>0</v>
      </c>
      <c r="K122" s="67"/>
      <c r="L122" s="130"/>
      <c r="M122" s="67">
        <f t="shared" si="20"/>
        <v>0</v>
      </c>
      <c r="N122" s="130"/>
      <c r="O122" s="67">
        <f t="shared" si="13"/>
        <v>0</v>
      </c>
      <c r="P122" s="67">
        <f t="shared" si="14"/>
        <v>0</v>
      </c>
    </row>
    <row r="123" spans="2:16">
      <c r="B123" t="str">
        <f t="shared" si="10"/>
        <v/>
      </c>
      <c r="C123" s="62">
        <f>IF(D94="","-",+C122+1)</f>
        <v>2043</v>
      </c>
      <c r="D123" s="648">
        <f>IF(F122+SUM(E$100:E122)=D$93,F122,D$93-SUM(E$100:E122))</f>
        <v>0</v>
      </c>
      <c r="E123" s="509">
        <f t="shared" si="15"/>
        <v>0</v>
      </c>
      <c r="F123" s="649">
        <f t="shared" si="16"/>
        <v>0</v>
      </c>
      <c r="G123" s="649">
        <f t="shared" si="17"/>
        <v>0</v>
      </c>
      <c r="H123" s="650">
        <f t="shared" si="18"/>
        <v>0</v>
      </c>
      <c r="I123" s="628">
        <f t="shared" si="19"/>
        <v>0</v>
      </c>
      <c r="J123" s="67">
        <f t="shared" si="11"/>
        <v>0</v>
      </c>
      <c r="K123" s="67"/>
      <c r="L123" s="130"/>
      <c r="M123" s="67">
        <f t="shared" si="20"/>
        <v>0</v>
      </c>
      <c r="N123" s="130"/>
      <c r="O123" s="67">
        <f t="shared" si="13"/>
        <v>0</v>
      </c>
      <c r="P123" s="67">
        <f t="shared" si="14"/>
        <v>0</v>
      </c>
    </row>
    <row r="124" spans="2:16">
      <c r="B124" t="str">
        <f t="shared" si="10"/>
        <v/>
      </c>
      <c r="C124" s="62">
        <f>IF(D94="","-",+C123+1)</f>
        <v>2044</v>
      </c>
      <c r="D124" s="648">
        <f>IF(F123+SUM(E$100:E123)=D$93,F123,D$93-SUM(E$100:E123))</f>
        <v>0</v>
      </c>
      <c r="E124" s="509">
        <f t="shared" si="15"/>
        <v>0</v>
      </c>
      <c r="F124" s="649">
        <f t="shared" si="16"/>
        <v>0</v>
      </c>
      <c r="G124" s="649">
        <f t="shared" si="17"/>
        <v>0</v>
      </c>
      <c r="H124" s="650">
        <f t="shared" si="18"/>
        <v>0</v>
      </c>
      <c r="I124" s="628">
        <f t="shared" si="19"/>
        <v>0</v>
      </c>
      <c r="J124" s="67">
        <f t="shared" si="11"/>
        <v>0</v>
      </c>
      <c r="K124" s="67"/>
      <c r="L124" s="130"/>
      <c r="M124" s="67">
        <f t="shared" si="20"/>
        <v>0</v>
      </c>
      <c r="N124" s="130"/>
      <c r="O124" s="67">
        <f t="shared" si="13"/>
        <v>0</v>
      </c>
      <c r="P124" s="67">
        <f t="shared" si="14"/>
        <v>0</v>
      </c>
    </row>
    <row r="125" spans="2:16">
      <c r="B125" t="str">
        <f t="shared" si="10"/>
        <v/>
      </c>
      <c r="C125" s="62">
        <f>IF(D94="","-",+C124+1)</f>
        <v>2045</v>
      </c>
      <c r="D125" s="648">
        <f>IF(F124+SUM(E$100:E124)=D$93,F124,D$93-SUM(E$100:E124))</f>
        <v>0</v>
      </c>
      <c r="E125" s="509">
        <f t="shared" si="15"/>
        <v>0</v>
      </c>
      <c r="F125" s="649">
        <f t="shared" si="16"/>
        <v>0</v>
      </c>
      <c r="G125" s="649">
        <f t="shared" si="17"/>
        <v>0</v>
      </c>
      <c r="H125" s="650">
        <f t="shared" si="18"/>
        <v>0</v>
      </c>
      <c r="I125" s="628">
        <f t="shared" si="19"/>
        <v>0</v>
      </c>
      <c r="J125" s="67">
        <f t="shared" si="11"/>
        <v>0</v>
      </c>
      <c r="K125" s="67"/>
      <c r="L125" s="130"/>
      <c r="M125" s="67">
        <f t="shared" si="20"/>
        <v>0</v>
      </c>
      <c r="N125" s="130"/>
      <c r="O125" s="67">
        <f t="shared" si="13"/>
        <v>0</v>
      </c>
      <c r="P125" s="67">
        <f t="shared" si="14"/>
        <v>0</v>
      </c>
    </row>
    <row r="126" spans="2:16">
      <c r="B126" t="str">
        <f t="shared" si="10"/>
        <v/>
      </c>
      <c r="C126" s="62">
        <f>IF(D94="","-",+C125+1)</f>
        <v>2046</v>
      </c>
      <c r="D126" s="648">
        <f>IF(F125+SUM(E$100:E125)=D$93,F125,D$93-SUM(E$100:E125))</f>
        <v>0</v>
      </c>
      <c r="E126" s="509">
        <f t="shared" si="15"/>
        <v>0</v>
      </c>
      <c r="F126" s="649">
        <f t="shared" si="16"/>
        <v>0</v>
      </c>
      <c r="G126" s="649">
        <f t="shared" si="17"/>
        <v>0</v>
      </c>
      <c r="H126" s="650">
        <f t="shared" si="18"/>
        <v>0</v>
      </c>
      <c r="I126" s="628">
        <f t="shared" si="19"/>
        <v>0</v>
      </c>
      <c r="J126" s="67">
        <f t="shared" si="11"/>
        <v>0</v>
      </c>
      <c r="K126" s="67"/>
      <c r="L126" s="130"/>
      <c r="M126" s="67">
        <f t="shared" si="20"/>
        <v>0</v>
      </c>
      <c r="N126" s="130"/>
      <c r="O126" s="67">
        <f t="shared" si="13"/>
        <v>0</v>
      </c>
      <c r="P126" s="67">
        <f t="shared" si="14"/>
        <v>0</v>
      </c>
    </row>
    <row r="127" spans="2:16">
      <c r="B127" t="str">
        <f t="shared" si="10"/>
        <v/>
      </c>
      <c r="C127" s="62">
        <f>IF(D94="","-",+C126+1)</f>
        <v>2047</v>
      </c>
      <c r="D127" s="648">
        <f>IF(F126+SUM(E$100:E126)=D$93,F126,D$93-SUM(E$100:E126))</f>
        <v>0</v>
      </c>
      <c r="E127" s="509">
        <f t="shared" si="15"/>
        <v>0</v>
      </c>
      <c r="F127" s="649">
        <f t="shared" si="16"/>
        <v>0</v>
      </c>
      <c r="G127" s="649">
        <f t="shared" si="17"/>
        <v>0</v>
      </c>
      <c r="H127" s="650">
        <f t="shared" si="18"/>
        <v>0</v>
      </c>
      <c r="I127" s="628">
        <f t="shared" si="19"/>
        <v>0</v>
      </c>
      <c r="J127" s="67">
        <f t="shared" si="11"/>
        <v>0</v>
      </c>
      <c r="K127" s="67"/>
      <c r="L127" s="130"/>
      <c r="M127" s="67">
        <f t="shared" si="20"/>
        <v>0</v>
      </c>
      <c r="N127" s="130"/>
      <c r="O127" s="67">
        <f t="shared" si="13"/>
        <v>0</v>
      </c>
      <c r="P127" s="67">
        <f t="shared" si="14"/>
        <v>0</v>
      </c>
    </row>
    <row r="128" spans="2:16">
      <c r="B128" t="str">
        <f t="shared" si="10"/>
        <v/>
      </c>
      <c r="C128" s="62">
        <f>IF(D94="","-",+C127+1)</f>
        <v>2048</v>
      </c>
      <c r="D128" s="648">
        <f>IF(F127+SUM(E$100:E127)=D$93,F127,D$93-SUM(E$100:E127))</f>
        <v>0</v>
      </c>
      <c r="E128" s="509">
        <f t="shared" si="15"/>
        <v>0</v>
      </c>
      <c r="F128" s="649">
        <f t="shared" si="16"/>
        <v>0</v>
      </c>
      <c r="G128" s="649">
        <f t="shared" si="17"/>
        <v>0</v>
      </c>
      <c r="H128" s="650">
        <f t="shared" si="18"/>
        <v>0</v>
      </c>
      <c r="I128" s="628">
        <f t="shared" si="19"/>
        <v>0</v>
      </c>
      <c r="J128" s="67">
        <f t="shared" si="11"/>
        <v>0</v>
      </c>
      <c r="K128" s="67"/>
      <c r="L128" s="130"/>
      <c r="M128" s="67">
        <f t="shared" si="20"/>
        <v>0</v>
      </c>
      <c r="N128" s="130"/>
      <c r="O128" s="67">
        <f t="shared" si="13"/>
        <v>0</v>
      </c>
      <c r="P128" s="67">
        <f t="shared" si="14"/>
        <v>0</v>
      </c>
    </row>
    <row r="129" spans="2:16">
      <c r="B129" t="str">
        <f t="shared" si="10"/>
        <v/>
      </c>
      <c r="C129" s="62">
        <f>IF(D94="","-",+C128+1)</f>
        <v>2049</v>
      </c>
      <c r="D129" s="648">
        <f>IF(F128+SUM(E$100:E128)=D$93,F128,D$93-SUM(E$100:E128))</f>
        <v>0</v>
      </c>
      <c r="E129" s="509">
        <f t="shared" si="15"/>
        <v>0</v>
      </c>
      <c r="F129" s="649">
        <f t="shared" si="16"/>
        <v>0</v>
      </c>
      <c r="G129" s="649">
        <f t="shared" si="17"/>
        <v>0</v>
      </c>
      <c r="H129" s="650">
        <f t="shared" si="18"/>
        <v>0</v>
      </c>
      <c r="I129" s="628">
        <f t="shared" si="19"/>
        <v>0</v>
      </c>
      <c r="J129" s="67">
        <f t="shared" si="11"/>
        <v>0</v>
      </c>
      <c r="K129" s="67"/>
      <c r="L129" s="130"/>
      <c r="M129" s="67">
        <f t="shared" si="20"/>
        <v>0</v>
      </c>
      <c r="N129" s="130"/>
      <c r="O129" s="67">
        <f t="shared" si="13"/>
        <v>0</v>
      </c>
      <c r="P129" s="67">
        <f t="shared" si="14"/>
        <v>0</v>
      </c>
    </row>
    <row r="130" spans="2:16">
      <c r="B130" t="str">
        <f t="shared" si="10"/>
        <v/>
      </c>
      <c r="C130" s="62">
        <f>IF(D94="","-",+C129+1)</f>
        <v>2050</v>
      </c>
      <c r="D130" s="648">
        <f>IF(F129+SUM(E$100:E129)=D$93,F129,D$93-SUM(E$100:E129))</f>
        <v>0</v>
      </c>
      <c r="E130" s="509">
        <f t="shared" si="15"/>
        <v>0</v>
      </c>
      <c r="F130" s="649">
        <f t="shared" si="16"/>
        <v>0</v>
      </c>
      <c r="G130" s="649">
        <f t="shared" si="17"/>
        <v>0</v>
      </c>
      <c r="H130" s="650">
        <f t="shared" si="18"/>
        <v>0</v>
      </c>
      <c r="I130" s="628">
        <f t="shared" si="19"/>
        <v>0</v>
      </c>
      <c r="J130" s="67">
        <f t="shared" si="11"/>
        <v>0</v>
      </c>
      <c r="K130" s="67"/>
      <c r="L130" s="130"/>
      <c r="M130" s="67">
        <f t="shared" si="20"/>
        <v>0</v>
      </c>
      <c r="N130" s="130"/>
      <c r="O130" s="67">
        <f t="shared" si="13"/>
        <v>0</v>
      </c>
      <c r="P130" s="67">
        <f t="shared" si="14"/>
        <v>0</v>
      </c>
    </row>
    <row r="131" spans="2:16">
      <c r="B131" t="str">
        <f t="shared" si="10"/>
        <v/>
      </c>
      <c r="C131" s="62">
        <f>IF(D94="","-",+C130+1)</f>
        <v>2051</v>
      </c>
      <c r="D131" s="648">
        <f>IF(F130+SUM(E$100:E130)=D$93,F130,D$93-SUM(E$100:E130))</f>
        <v>0</v>
      </c>
      <c r="E131" s="509">
        <f t="shared" si="15"/>
        <v>0</v>
      </c>
      <c r="F131" s="649">
        <f t="shared" si="16"/>
        <v>0</v>
      </c>
      <c r="G131" s="649">
        <f t="shared" si="17"/>
        <v>0</v>
      </c>
      <c r="H131" s="650">
        <f t="shared" si="18"/>
        <v>0</v>
      </c>
      <c r="I131" s="628">
        <f t="shared" si="19"/>
        <v>0</v>
      </c>
      <c r="J131" s="67">
        <f t="shared" si="11"/>
        <v>0</v>
      </c>
      <c r="K131" s="67"/>
      <c r="L131" s="130"/>
      <c r="M131" s="67">
        <f t="shared" si="20"/>
        <v>0</v>
      </c>
      <c r="N131" s="130"/>
      <c r="O131" s="67">
        <f t="shared" si="13"/>
        <v>0</v>
      </c>
      <c r="P131" s="67">
        <f t="shared" si="14"/>
        <v>0</v>
      </c>
    </row>
    <row r="132" spans="2:16">
      <c r="B132" t="str">
        <f t="shared" si="10"/>
        <v/>
      </c>
      <c r="C132" s="62">
        <f>IF(D94="","-",+C131+1)</f>
        <v>2052</v>
      </c>
      <c r="D132" s="648">
        <f>IF(F131+SUM(E$100:E131)=D$93,F131,D$93-SUM(E$100:E131))</f>
        <v>0</v>
      </c>
      <c r="E132" s="509">
        <f t="shared" si="15"/>
        <v>0</v>
      </c>
      <c r="F132" s="649">
        <f t="shared" si="16"/>
        <v>0</v>
      </c>
      <c r="G132" s="649">
        <f t="shared" si="17"/>
        <v>0</v>
      </c>
      <c r="H132" s="650">
        <f t="shared" si="18"/>
        <v>0</v>
      </c>
      <c r="I132" s="628">
        <f t="shared" si="19"/>
        <v>0</v>
      </c>
      <c r="J132" s="67">
        <f t="shared" ref="J132:J155" si="21">+I542-H542</f>
        <v>0</v>
      </c>
      <c r="K132" s="67"/>
      <c r="L132" s="130"/>
      <c r="M132" s="67">
        <f t="shared" ref="M132:M155" si="22">IF(L542&lt;&gt;0,+H542-L542,0)</f>
        <v>0</v>
      </c>
      <c r="N132" s="130"/>
      <c r="O132" s="67">
        <f t="shared" ref="O132:O155" si="23">IF(N542&lt;&gt;0,+I542-N542,0)</f>
        <v>0</v>
      </c>
      <c r="P132" s="67">
        <f t="shared" ref="P132:P155" si="24">+O542-M542</f>
        <v>0</v>
      </c>
    </row>
    <row r="133" spans="2:16">
      <c r="B133" t="str">
        <f t="shared" si="10"/>
        <v/>
      </c>
      <c r="C133" s="62">
        <f>IF(D94="","-",+C132+1)</f>
        <v>2053</v>
      </c>
      <c r="D133" s="648">
        <f>IF(F132+SUM(E$100:E132)=D$93,F132,D$93-SUM(E$100:E132))</f>
        <v>0</v>
      </c>
      <c r="E133" s="509">
        <f t="shared" si="15"/>
        <v>0</v>
      </c>
      <c r="F133" s="649">
        <f t="shared" si="16"/>
        <v>0</v>
      </c>
      <c r="G133" s="649">
        <f t="shared" si="17"/>
        <v>0</v>
      </c>
      <c r="H133" s="650">
        <f t="shared" si="18"/>
        <v>0</v>
      </c>
      <c r="I133" s="628">
        <f t="shared" si="19"/>
        <v>0</v>
      </c>
      <c r="J133" s="67">
        <f t="shared" si="21"/>
        <v>0</v>
      </c>
      <c r="K133" s="67"/>
      <c r="L133" s="130"/>
      <c r="M133" s="67">
        <f t="shared" si="22"/>
        <v>0</v>
      </c>
      <c r="N133" s="130"/>
      <c r="O133" s="67">
        <f t="shared" si="23"/>
        <v>0</v>
      </c>
      <c r="P133" s="67">
        <f t="shared" si="24"/>
        <v>0</v>
      </c>
    </row>
    <row r="134" spans="2:16">
      <c r="B134" t="str">
        <f t="shared" si="10"/>
        <v/>
      </c>
      <c r="C134" s="62">
        <f>IF(D94="","-",+C133+1)</f>
        <v>2054</v>
      </c>
      <c r="D134" s="648">
        <f>IF(F133+SUM(E$100:E133)=D$93,F133,D$93-SUM(E$100:E133))</f>
        <v>0</v>
      </c>
      <c r="E134" s="509">
        <f t="shared" si="15"/>
        <v>0</v>
      </c>
      <c r="F134" s="649">
        <f t="shared" si="16"/>
        <v>0</v>
      </c>
      <c r="G134" s="649">
        <f t="shared" si="17"/>
        <v>0</v>
      </c>
      <c r="H134" s="650">
        <f t="shared" si="18"/>
        <v>0</v>
      </c>
      <c r="I134" s="628">
        <f t="shared" si="19"/>
        <v>0</v>
      </c>
      <c r="J134" s="67">
        <f t="shared" si="21"/>
        <v>0</v>
      </c>
      <c r="K134" s="67"/>
      <c r="L134" s="130"/>
      <c r="M134" s="67">
        <f t="shared" si="22"/>
        <v>0</v>
      </c>
      <c r="N134" s="130"/>
      <c r="O134" s="67">
        <f t="shared" si="23"/>
        <v>0</v>
      </c>
      <c r="P134" s="67">
        <f t="shared" si="24"/>
        <v>0</v>
      </c>
    </row>
    <row r="135" spans="2:16">
      <c r="B135" t="str">
        <f t="shared" si="10"/>
        <v/>
      </c>
      <c r="C135" s="62">
        <f>IF(D94="","-",+C134+1)</f>
        <v>2055</v>
      </c>
      <c r="D135" s="648">
        <f>IF(F134+SUM(E$100:E134)=D$93,F134,D$93-SUM(E$100:E134))</f>
        <v>0</v>
      </c>
      <c r="E135" s="509">
        <f t="shared" si="15"/>
        <v>0</v>
      </c>
      <c r="F135" s="649">
        <f t="shared" si="16"/>
        <v>0</v>
      </c>
      <c r="G135" s="649">
        <f t="shared" si="17"/>
        <v>0</v>
      </c>
      <c r="H135" s="650">
        <f t="shared" si="18"/>
        <v>0</v>
      </c>
      <c r="I135" s="628">
        <f t="shared" si="19"/>
        <v>0</v>
      </c>
      <c r="J135" s="67">
        <f t="shared" si="21"/>
        <v>0</v>
      </c>
      <c r="K135" s="67"/>
      <c r="L135" s="130"/>
      <c r="M135" s="67">
        <f t="shared" si="22"/>
        <v>0</v>
      </c>
      <c r="N135" s="130"/>
      <c r="O135" s="67">
        <f t="shared" si="23"/>
        <v>0</v>
      </c>
      <c r="P135" s="67">
        <f t="shared" si="24"/>
        <v>0</v>
      </c>
    </row>
    <row r="136" spans="2:16">
      <c r="B136" t="str">
        <f t="shared" si="10"/>
        <v/>
      </c>
      <c r="C136" s="62">
        <f>IF(D94="","-",+C135+1)</f>
        <v>2056</v>
      </c>
      <c r="D136" s="648">
        <f>IF(F135+SUM(E$100:E135)=D$93,F135,D$93-SUM(E$100:E135))</f>
        <v>0</v>
      </c>
      <c r="E136" s="509">
        <f t="shared" si="15"/>
        <v>0</v>
      </c>
      <c r="F136" s="649">
        <f t="shared" si="16"/>
        <v>0</v>
      </c>
      <c r="G136" s="649">
        <f t="shared" si="17"/>
        <v>0</v>
      </c>
      <c r="H136" s="650">
        <f t="shared" si="18"/>
        <v>0</v>
      </c>
      <c r="I136" s="628">
        <f t="shared" si="19"/>
        <v>0</v>
      </c>
      <c r="J136" s="67">
        <f t="shared" si="21"/>
        <v>0</v>
      </c>
      <c r="K136" s="67"/>
      <c r="L136" s="130"/>
      <c r="M136" s="67">
        <f t="shared" si="22"/>
        <v>0</v>
      </c>
      <c r="N136" s="130"/>
      <c r="O136" s="67">
        <f t="shared" si="23"/>
        <v>0</v>
      </c>
      <c r="P136" s="67">
        <f t="shared" si="24"/>
        <v>0</v>
      </c>
    </row>
    <row r="137" spans="2:16">
      <c r="B137" t="str">
        <f t="shared" si="10"/>
        <v/>
      </c>
      <c r="C137" s="62">
        <f>IF(D94="","-",+C136+1)</f>
        <v>2057</v>
      </c>
      <c r="D137" s="648">
        <f>IF(F136+SUM(E$100:E136)=D$93,F136,D$93-SUM(E$100:E136))</f>
        <v>0</v>
      </c>
      <c r="E137" s="509">
        <f t="shared" si="15"/>
        <v>0</v>
      </c>
      <c r="F137" s="649">
        <f t="shared" si="16"/>
        <v>0</v>
      </c>
      <c r="G137" s="649">
        <f t="shared" si="17"/>
        <v>0</v>
      </c>
      <c r="H137" s="650">
        <f t="shared" si="18"/>
        <v>0</v>
      </c>
      <c r="I137" s="628">
        <f t="shared" si="19"/>
        <v>0</v>
      </c>
      <c r="J137" s="67">
        <f t="shared" si="21"/>
        <v>0</v>
      </c>
      <c r="K137" s="67"/>
      <c r="L137" s="130"/>
      <c r="M137" s="67">
        <f t="shared" si="22"/>
        <v>0</v>
      </c>
      <c r="N137" s="130"/>
      <c r="O137" s="67">
        <f t="shared" si="23"/>
        <v>0</v>
      </c>
      <c r="P137" s="67">
        <f t="shared" si="24"/>
        <v>0</v>
      </c>
    </row>
    <row r="138" spans="2:16">
      <c r="B138" t="str">
        <f t="shared" si="10"/>
        <v/>
      </c>
      <c r="C138" s="62">
        <f>IF(D94="","-",+C137+1)</f>
        <v>2058</v>
      </c>
      <c r="D138" s="648">
        <f>IF(F137+SUM(E$100:E137)=D$93,F137,D$93-SUM(E$100:E137))</f>
        <v>0</v>
      </c>
      <c r="E138" s="509">
        <f t="shared" si="15"/>
        <v>0</v>
      </c>
      <c r="F138" s="649">
        <f t="shared" si="16"/>
        <v>0</v>
      </c>
      <c r="G138" s="649">
        <f t="shared" si="17"/>
        <v>0</v>
      </c>
      <c r="H138" s="650">
        <f t="shared" si="18"/>
        <v>0</v>
      </c>
      <c r="I138" s="628">
        <f t="shared" si="19"/>
        <v>0</v>
      </c>
      <c r="J138" s="67">
        <f t="shared" si="21"/>
        <v>0</v>
      </c>
      <c r="K138" s="67"/>
      <c r="L138" s="130"/>
      <c r="M138" s="67">
        <f t="shared" si="22"/>
        <v>0</v>
      </c>
      <c r="N138" s="130"/>
      <c r="O138" s="67">
        <f t="shared" si="23"/>
        <v>0</v>
      </c>
      <c r="P138" s="67">
        <f t="shared" si="24"/>
        <v>0</v>
      </c>
    </row>
    <row r="139" spans="2:16">
      <c r="B139" t="str">
        <f t="shared" si="10"/>
        <v/>
      </c>
      <c r="C139" s="62">
        <f>IF(D94="","-",+C138+1)</f>
        <v>2059</v>
      </c>
      <c r="D139" s="648">
        <f>IF(F138+SUM(E$100:E138)=D$93,F138,D$93-SUM(E$100:E138))</f>
        <v>0</v>
      </c>
      <c r="E139" s="509">
        <f t="shared" si="15"/>
        <v>0</v>
      </c>
      <c r="F139" s="649">
        <f t="shared" si="16"/>
        <v>0</v>
      </c>
      <c r="G139" s="649">
        <f t="shared" si="17"/>
        <v>0</v>
      </c>
      <c r="H139" s="650">
        <f t="shared" si="18"/>
        <v>0</v>
      </c>
      <c r="I139" s="628">
        <f t="shared" si="19"/>
        <v>0</v>
      </c>
      <c r="J139" s="67">
        <f t="shared" si="21"/>
        <v>0</v>
      </c>
      <c r="K139" s="67"/>
      <c r="L139" s="130"/>
      <c r="M139" s="67">
        <f t="shared" si="22"/>
        <v>0</v>
      </c>
      <c r="N139" s="130"/>
      <c r="O139" s="67">
        <f t="shared" si="23"/>
        <v>0</v>
      </c>
      <c r="P139" s="67">
        <f t="shared" si="24"/>
        <v>0</v>
      </c>
    </row>
    <row r="140" spans="2:16">
      <c r="B140" t="str">
        <f t="shared" si="10"/>
        <v/>
      </c>
      <c r="C140" s="62">
        <f>IF(D94="","-",+C139+1)</f>
        <v>2060</v>
      </c>
      <c r="D140" s="648">
        <f>IF(F139+SUM(E$100:E139)=D$93,F139,D$93-SUM(E$100:E139))</f>
        <v>0</v>
      </c>
      <c r="E140" s="509">
        <f t="shared" si="15"/>
        <v>0</v>
      </c>
      <c r="F140" s="649">
        <f t="shared" si="16"/>
        <v>0</v>
      </c>
      <c r="G140" s="649">
        <f t="shared" si="17"/>
        <v>0</v>
      </c>
      <c r="H140" s="650">
        <f t="shared" si="18"/>
        <v>0</v>
      </c>
      <c r="I140" s="628">
        <f t="shared" si="19"/>
        <v>0</v>
      </c>
      <c r="J140" s="67">
        <f t="shared" si="21"/>
        <v>0</v>
      </c>
      <c r="K140" s="67"/>
      <c r="L140" s="130"/>
      <c r="M140" s="67">
        <f t="shared" si="22"/>
        <v>0</v>
      </c>
      <c r="N140" s="130"/>
      <c r="O140" s="67">
        <f t="shared" si="23"/>
        <v>0</v>
      </c>
      <c r="P140" s="67">
        <f t="shared" si="24"/>
        <v>0</v>
      </c>
    </row>
    <row r="141" spans="2:16">
      <c r="B141" t="str">
        <f t="shared" si="10"/>
        <v/>
      </c>
      <c r="C141" s="62">
        <f>IF(D94="","-",+C140+1)</f>
        <v>2061</v>
      </c>
      <c r="D141" s="648">
        <f>IF(F140+SUM(E$100:E140)=D$93,F140,D$93-SUM(E$100:E140))</f>
        <v>0</v>
      </c>
      <c r="E141" s="509">
        <f t="shared" si="15"/>
        <v>0</v>
      </c>
      <c r="F141" s="649">
        <f t="shared" si="16"/>
        <v>0</v>
      </c>
      <c r="G141" s="649">
        <f t="shared" si="17"/>
        <v>0</v>
      </c>
      <c r="H141" s="650">
        <f t="shared" si="18"/>
        <v>0</v>
      </c>
      <c r="I141" s="628">
        <f t="shared" si="19"/>
        <v>0</v>
      </c>
      <c r="J141" s="67">
        <f t="shared" si="21"/>
        <v>0</v>
      </c>
      <c r="K141" s="67"/>
      <c r="L141" s="130"/>
      <c r="M141" s="67">
        <f t="shared" si="22"/>
        <v>0</v>
      </c>
      <c r="N141" s="130"/>
      <c r="O141" s="67">
        <f t="shared" si="23"/>
        <v>0</v>
      </c>
      <c r="P141" s="67">
        <f t="shared" si="24"/>
        <v>0</v>
      </c>
    </row>
    <row r="142" spans="2:16">
      <c r="B142" t="str">
        <f t="shared" si="10"/>
        <v/>
      </c>
      <c r="C142" s="62">
        <f>IF(D94="","-",+C141+1)</f>
        <v>2062</v>
      </c>
      <c r="D142" s="648">
        <f>IF(F141+SUM(E$100:E141)=D$93,F141,D$93-SUM(E$100:E141))</f>
        <v>0</v>
      </c>
      <c r="E142" s="509">
        <f t="shared" si="15"/>
        <v>0</v>
      </c>
      <c r="F142" s="649">
        <f t="shared" si="16"/>
        <v>0</v>
      </c>
      <c r="G142" s="649">
        <f t="shared" si="17"/>
        <v>0</v>
      </c>
      <c r="H142" s="650">
        <f t="shared" si="18"/>
        <v>0</v>
      </c>
      <c r="I142" s="628">
        <f t="shared" si="19"/>
        <v>0</v>
      </c>
      <c r="J142" s="67">
        <f t="shared" si="21"/>
        <v>0</v>
      </c>
      <c r="K142" s="67"/>
      <c r="L142" s="130"/>
      <c r="M142" s="67">
        <f t="shared" si="22"/>
        <v>0</v>
      </c>
      <c r="N142" s="130"/>
      <c r="O142" s="67">
        <f t="shared" si="23"/>
        <v>0</v>
      </c>
      <c r="P142" s="67">
        <f t="shared" si="24"/>
        <v>0</v>
      </c>
    </row>
    <row r="143" spans="2:16">
      <c r="B143" t="str">
        <f t="shared" si="10"/>
        <v/>
      </c>
      <c r="C143" s="62">
        <f>IF(D94="","-",+C142+1)</f>
        <v>2063</v>
      </c>
      <c r="D143" s="648">
        <f>IF(F142+SUM(E$100:E142)=D$93,F142,D$93-SUM(E$100:E142))</f>
        <v>0</v>
      </c>
      <c r="E143" s="509">
        <f t="shared" si="15"/>
        <v>0</v>
      </c>
      <c r="F143" s="649">
        <f t="shared" si="16"/>
        <v>0</v>
      </c>
      <c r="G143" s="649">
        <f t="shared" si="17"/>
        <v>0</v>
      </c>
      <c r="H143" s="650">
        <f t="shared" si="18"/>
        <v>0</v>
      </c>
      <c r="I143" s="628">
        <f t="shared" si="19"/>
        <v>0</v>
      </c>
      <c r="J143" s="67">
        <f t="shared" si="21"/>
        <v>0</v>
      </c>
      <c r="K143" s="67"/>
      <c r="L143" s="130"/>
      <c r="M143" s="67">
        <f t="shared" si="22"/>
        <v>0</v>
      </c>
      <c r="N143" s="130"/>
      <c r="O143" s="67">
        <f t="shared" si="23"/>
        <v>0</v>
      </c>
      <c r="P143" s="67">
        <f t="shared" si="24"/>
        <v>0</v>
      </c>
    </row>
    <row r="144" spans="2:16">
      <c r="B144" t="str">
        <f t="shared" si="10"/>
        <v/>
      </c>
      <c r="C144" s="62">
        <f>IF(D94="","-",+C143+1)</f>
        <v>2064</v>
      </c>
      <c r="D144" s="648">
        <f>IF(F143+SUM(E$100:E143)=D$93,F143,D$93-SUM(E$100:E143))</f>
        <v>0</v>
      </c>
      <c r="E144" s="509">
        <f t="shared" si="15"/>
        <v>0</v>
      </c>
      <c r="F144" s="649">
        <f t="shared" si="16"/>
        <v>0</v>
      </c>
      <c r="G144" s="649">
        <f t="shared" si="17"/>
        <v>0</v>
      </c>
      <c r="H144" s="650">
        <f t="shared" si="18"/>
        <v>0</v>
      </c>
      <c r="I144" s="628">
        <f t="shared" si="19"/>
        <v>0</v>
      </c>
      <c r="J144" s="67">
        <f t="shared" si="21"/>
        <v>0</v>
      </c>
      <c r="K144" s="67"/>
      <c r="L144" s="130"/>
      <c r="M144" s="67">
        <f t="shared" si="22"/>
        <v>0</v>
      </c>
      <c r="N144" s="130"/>
      <c r="O144" s="67">
        <f t="shared" si="23"/>
        <v>0</v>
      </c>
      <c r="P144" s="67">
        <f t="shared" si="24"/>
        <v>0</v>
      </c>
    </row>
    <row r="145" spans="2:16">
      <c r="B145" t="str">
        <f t="shared" si="10"/>
        <v/>
      </c>
      <c r="C145" s="62">
        <f>IF(D94="","-",+C144+1)</f>
        <v>2065</v>
      </c>
      <c r="D145" s="648">
        <f>IF(F144+SUM(E$100:E144)=D$93,F144,D$93-SUM(E$100:E144))</f>
        <v>0</v>
      </c>
      <c r="E145" s="509">
        <f t="shared" si="15"/>
        <v>0</v>
      </c>
      <c r="F145" s="649">
        <f t="shared" si="16"/>
        <v>0</v>
      </c>
      <c r="G145" s="649">
        <f t="shared" si="17"/>
        <v>0</v>
      </c>
      <c r="H145" s="650">
        <f t="shared" si="18"/>
        <v>0</v>
      </c>
      <c r="I145" s="628">
        <f t="shared" si="19"/>
        <v>0</v>
      </c>
      <c r="J145" s="67">
        <f t="shared" si="21"/>
        <v>0</v>
      </c>
      <c r="K145" s="67"/>
      <c r="L145" s="130"/>
      <c r="M145" s="67">
        <f t="shared" si="22"/>
        <v>0</v>
      </c>
      <c r="N145" s="130"/>
      <c r="O145" s="67">
        <f t="shared" si="23"/>
        <v>0</v>
      </c>
      <c r="P145" s="67">
        <f t="shared" si="24"/>
        <v>0</v>
      </c>
    </row>
    <row r="146" spans="2:16">
      <c r="B146" t="str">
        <f t="shared" si="10"/>
        <v/>
      </c>
      <c r="C146" s="62">
        <f>IF(D94="","-",+C145+1)</f>
        <v>2066</v>
      </c>
      <c r="D146" s="648">
        <f>IF(F145+SUM(E$100:E145)=D$93,F145,D$93-SUM(E$100:E145))</f>
        <v>0</v>
      </c>
      <c r="E146" s="509">
        <f t="shared" si="15"/>
        <v>0</v>
      </c>
      <c r="F146" s="649">
        <f t="shared" si="16"/>
        <v>0</v>
      </c>
      <c r="G146" s="649">
        <f t="shared" si="17"/>
        <v>0</v>
      </c>
      <c r="H146" s="650">
        <f t="shared" si="18"/>
        <v>0</v>
      </c>
      <c r="I146" s="628">
        <f t="shared" si="19"/>
        <v>0</v>
      </c>
      <c r="J146" s="67">
        <f t="shared" si="21"/>
        <v>0</v>
      </c>
      <c r="K146" s="67"/>
      <c r="L146" s="130"/>
      <c r="M146" s="67">
        <f t="shared" si="22"/>
        <v>0</v>
      </c>
      <c r="N146" s="130"/>
      <c r="O146" s="67">
        <f t="shared" si="23"/>
        <v>0</v>
      </c>
      <c r="P146" s="67">
        <f t="shared" si="24"/>
        <v>0</v>
      </c>
    </row>
    <row r="147" spans="2:16">
      <c r="B147" t="str">
        <f t="shared" si="10"/>
        <v/>
      </c>
      <c r="C147" s="62">
        <f>IF(D94="","-",+C146+1)</f>
        <v>2067</v>
      </c>
      <c r="D147" s="648">
        <f>IF(F146+SUM(E$100:E146)=D$93,F146,D$93-SUM(E$100:E146))</f>
        <v>0</v>
      </c>
      <c r="E147" s="509">
        <f t="shared" si="15"/>
        <v>0</v>
      </c>
      <c r="F147" s="649">
        <f t="shared" si="16"/>
        <v>0</v>
      </c>
      <c r="G147" s="649">
        <f t="shared" si="17"/>
        <v>0</v>
      </c>
      <c r="H147" s="650">
        <f t="shared" si="18"/>
        <v>0</v>
      </c>
      <c r="I147" s="628">
        <f t="shared" si="19"/>
        <v>0</v>
      </c>
      <c r="J147" s="67">
        <f t="shared" si="21"/>
        <v>0</v>
      </c>
      <c r="K147" s="67"/>
      <c r="L147" s="130"/>
      <c r="M147" s="67">
        <f t="shared" si="22"/>
        <v>0</v>
      </c>
      <c r="N147" s="130"/>
      <c r="O147" s="67">
        <f t="shared" si="23"/>
        <v>0</v>
      </c>
      <c r="P147" s="67">
        <f t="shared" si="24"/>
        <v>0</v>
      </c>
    </row>
    <row r="148" spans="2:16">
      <c r="B148" t="str">
        <f t="shared" si="10"/>
        <v/>
      </c>
      <c r="C148" s="62">
        <f>IF(D94="","-",+C147+1)</f>
        <v>2068</v>
      </c>
      <c r="D148" s="648">
        <f>IF(F147+SUM(E$100:E147)=D$93,F147,D$93-SUM(E$100:E147))</f>
        <v>0</v>
      </c>
      <c r="E148" s="509">
        <f t="shared" si="15"/>
        <v>0</v>
      </c>
      <c r="F148" s="649">
        <f t="shared" si="16"/>
        <v>0</v>
      </c>
      <c r="G148" s="649">
        <f t="shared" si="17"/>
        <v>0</v>
      </c>
      <c r="H148" s="650">
        <f t="shared" si="18"/>
        <v>0</v>
      </c>
      <c r="I148" s="628">
        <f t="shared" si="19"/>
        <v>0</v>
      </c>
      <c r="J148" s="67">
        <f t="shared" si="21"/>
        <v>0</v>
      </c>
      <c r="K148" s="67"/>
      <c r="L148" s="130"/>
      <c r="M148" s="67">
        <f t="shared" si="22"/>
        <v>0</v>
      </c>
      <c r="N148" s="130"/>
      <c r="O148" s="67">
        <f t="shared" si="23"/>
        <v>0</v>
      </c>
      <c r="P148" s="67">
        <f t="shared" si="24"/>
        <v>0</v>
      </c>
    </row>
    <row r="149" spans="2:16">
      <c r="B149" t="str">
        <f t="shared" si="10"/>
        <v/>
      </c>
      <c r="C149" s="62">
        <f>IF(D94="","-",+C148+1)</f>
        <v>2069</v>
      </c>
      <c r="D149" s="648">
        <f>IF(F148+SUM(E$100:E148)=D$93,F148,D$93-SUM(E$100:E148))</f>
        <v>0</v>
      </c>
      <c r="E149" s="509">
        <f t="shared" si="15"/>
        <v>0</v>
      </c>
      <c r="F149" s="649">
        <f t="shared" si="16"/>
        <v>0</v>
      </c>
      <c r="G149" s="649">
        <f t="shared" si="17"/>
        <v>0</v>
      </c>
      <c r="H149" s="650">
        <f t="shared" si="18"/>
        <v>0</v>
      </c>
      <c r="I149" s="628">
        <f t="shared" si="19"/>
        <v>0</v>
      </c>
      <c r="J149" s="67">
        <f t="shared" si="21"/>
        <v>0</v>
      </c>
      <c r="K149" s="67"/>
      <c r="L149" s="130"/>
      <c r="M149" s="67">
        <f t="shared" si="22"/>
        <v>0</v>
      </c>
      <c r="N149" s="130"/>
      <c r="O149" s="67">
        <f t="shared" si="23"/>
        <v>0</v>
      </c>
      <c r="P149" s="67">
        <f t="shared" si="24"/>
        <v>0</v>
      </c>
    </row>
    <row r="150" spans="2:16">
      <c r="B150" t="str">
        <f t="shared" si="10"/>
        <v/>
      </c>
      <c r="C150" s="62">
        <f>IF(D94="","-",+C149+1)</f>
        <v>2070</v>
      </c>
      <c r="D150" s="648">
        <f>IF(F149+SUM(E$100:E149)=D$93,F149,D$93-SUM(E$100:E149))</f>
        <v>0</v>
      </c>
      <c r="E150" s="509">
        <f t="shared" si="15"/>
        <v>0</v>
      </c>
      <c r="F150" s="649">
        <f t="shared" si="16"/>
        <v>0</v>
      </c>
      <c r="G150" s="649">
        <f t="shared" si="17"/>
        <v>0</v>
      </c>
      <c r="H150" s="650">
        <f t="shared" si="18"/>
        <v>0</v>
      </c>
      <c r="I150" s="628">
        <f t="shared" si="19"/>
        <v>0</v>
      </c>
      <c r="J150" s="67">
        <f t="shared" si="21"/>
        <v>0</v>
      </c>
      <c r="K150" s="67"/>
      <c r="L150" s="130"/>
      <c r="M150" s="67">
        <f t="shared" si="22"/>
        <v>0</v>
      </c>
      <c r="N150" s="130"/>
      <c r="O150" s="67">
        <f t="shared" si="23"/>
        <v>0</v>
      </c>
      <c r="P150" s="67">
        <f t="shared" si="24"/>
        <v>0</v>
      </c>
    </row>
    <row r="151" spans="2:16">
      <c r="B151" t="str">
        <f t="shared" si="10"/>
        <v/>
      </c>
      <c r="C151" s="62">
        <f>IF(D94="","-",+C150+1)</f>
        <v>2071</v>
      </c>
      <c r="D151" s="648">
        <f>IF(F150+SUM(E$100:E150)=D$93,F150,D$93-SUM(E$100:E150))</f>
        <v>0</v>
      </c>
      <c r="E151" s="509">
        <f t="shared" si="15"/>
        <v>0</v>
      </c>
      <c r="F151" s="649">
        <f t="shared" si="16"/>
        <v>0</v>
      </c>
      <c r="G151" s="649">
        <f t="shared" si="17"/>
        <v>0</v>
      </c>
      <c r="H151" s="650">
        <f t="shared" si="18"/>
        <v>0</v>
      </c>
      <c r="I151" s="628">
        <f t="shared" si="19"/>
        <v>0</v>
      </c>
      <c r="J151" s="67">
        <f t="shared" si="21"/>
        <v>0</v>
      </c>
      <c r="K151" s="67"/>
      <c r="L151" s="130"/>
      <c r="M151" s="67">
        <f t="shared" si="22"/>
        <v>0</v>
      </c>
      <c r="N151" s="130"/>
      <c r="O151" s="67">
        <f t="shared" si="23"/>
        <v>0</v>
      </c>
      <c r="P151" s="67">
        <f t="shared" si="24"/>
        <v>0</v>
      </c>
    </row>
    <row r="152" spans="2:16">
      <c r="B152" t="str">
        <f t="shared" si="10"/>
        <v/>
      </c>
      <c r="C152" s="62">
        <f>IF(D94="","-",+C151+1)</f>
        <v>2072</v>
      </c>
      <c r="D152" s="648">
        <f>IF(F151+SUM(E$100:E151)=D$93,F151,D$93-SUM(E$100:E151))</f>
        <v>0</v>
      </c>
      <c r="E152" s="509">
        <f t="shared" si="15"/>
        <v>0</v>
      </c>
      <c r="F152" s="649">
        <f t="shared" si="16"/>
        <v>0</v>
      </c>
      <c r="G152" s="649">
        <f t="shared" si="17"/>
        <v>0</v>
      </c>
      <c r="H152" s="650">
        <f t="shared" si="18"/>
        <v>0</v>
      </c>
      <c r="I152" s="628">
        <f t="shared" si="19"/>
        <v>0</v>
      </c>
      <c r="J152" s="67">
        <f t="shared" si="21"/>
        <v>0</v>
      </c>
      <c r="K152" s="67"/>
      <c r="L152" s="130"/>
      <c r="M152" s="67">
        <f t="shared" si="22"/>
        <v>0</v>
      </c>
      <c r="N152" s="130"/>
      <c r="O152" s="67">
        <f t="shared" si="23"/>
        <v>0</v>
      </c>
      <c r="P152" s="67">
        <f t="shared" si="24"/>
        <v>0</v>
      </c>
    </row>
    <row r="153" spans="2:16">
      <c r="B153" t="str">
        <f t="shared" si="10"/>
        <v/>
      </c>
      <c r="C153" s="62">
        <f>IF(D94="","-",+C152+1)</f>
        <v>2073</v>
      </c>
      <c r="D153" s="648">
        <f>IF(F152+SUM(E$100:E152)=D$93,F152,D$93-SUM(E$100:E152))</f>
        <v>0</v>
      </c>
      <c r="E153" s="509">
        <f t="shared" si="15"/>
        <v>0</v>
      </c>
      <c r="F153" s="649">
        <f t="shared" si="16"/>
        <v>0</v>
      </c>
      <c r="G153" s="649">
        <f t="shared" si="17"/>
        <v>0</v>
      </c>
      <c r="H153" s="650">
        <f t="shared" si="18"/>
        <v>0</v>
      </c>
      <c r="I153" s="628">
        <f t="shared" si="19"/>
        <v>0</v>
      </c>
      <c r="J153" s="67">
        <f t="shared" si="21"/>
        <v>0</v>
      </c>
      <c r="K153" s="67"/>
      <c r="L153" s="130"/>
      <c r="M153" s="67">
        <f t="shared" si="22"/>
        <v>0</v>
      </c>
      <c r="N153" s="130"/>
      <c r="O153" s="67">
        <f t="shared" si="23"/>
        <v>0</v>
      </c>
      <c r="P153" s="67">
        <f t="shared" si="24"/>
        <v>0</v>
      </c>
    </row>
    <row r="154" spans="2:16">
      <c r="B154" t="str">
        <f t="shared" si="10"/>
        <v/>
      </c>
      <c r="C154" s="62">
        <f>IF(D94="","-",+C153+1)</f>
        <v>2074</v>
      </c>
      <c r="D154" s="648">
        <f>IF(F153+SUM(E$100:E153)=D$93,F153,D$93-SUM(E$100:E153))</f>
        <v>0</v>
      </c>
      <c r="E154" s="509">
        <f t="shared" si="15"/>
        <v>0</v>
      </c>
      <c r="F154" s="649">
        <f t="shared" si="16"/>
        <v>0</v>
      </c>
      <c r="G154" s="649">
        <f t="shared" si="17"/>
        <v>0</v>
      </c>
      <c r="H154" s="650">
        <f t="shared" si="18"/>
        <v>0</v>
      </c>
      <c r="I154" s="628">
        <f t="shared" si="19"/>
        <v>0</v>
      </c>
      <c r="J154" s="67">
        <f t="shared" si="21"/>
        <v>0</v>
      </c>
      <c r="K154" s="67"/>
      <c r="L154" s="130"/>
      <c r="M154" s="67">
        <f t="shared" si="22"/>
        <v>0</v>
      </c>
      <c r="N154" s="130"/>
      <c r="O154" s="67">
        <f t="shared" si="23"/>
        <v>0</v>
      </c>
      <c r="P154" s="67">
        <f t="shared" si="24"/>
        <v>0</v>
      </c>
    </row>
    <row r="155" spans="2:16" ht="13.5" thickBot="1">
      <c r="B155" t="str">
        <f t="shared" si="10"/>
        <v/>
      </c>
      <c r="C155" s="73">
        <f>IF(D94="","-",+C154+1)</f>
        <v>2075</v>
      </c>
      <c r="D155" s="651">
        <f>IF(F154+SUM(E$100:E154)=D$93,F154,D$93-SUM(E$100:E154))</f>
        <v>0</v>
      </c>
      <c r="E155" s="526">
        <f t="shared" si="15"/>
        <v>0</v>
      </c>
      <c r="F155" s="652">
        <f t="shared" si="16"/>
        <v>0</v>
      </c>
      <c r="G155" s="652">
        <f t="shared" si="17"/>
        <v>0</v>
      </c>
      <c r="H155" s="650">
        <f t="shared" si="18"/>
        <v>0</v>
      </c>
      <c r="I155" s="624">
        <f t="shared" si="19"/>
        <v>0</v>
      </c>
      <c r="J155" s="78">
        <f t="shared" si="21"/>
        <v>0</v>
      </c>
      <c r="K155" s="67"/>
      <c r="L155" s="131"/>
      <c r="M155" s="78">
        <f t="shared" si="22"/>
        <v>0</v>
      </c>
      <c r="N155" s="131"/>
      <c r="O155" s="78">
        <f t="shared" si="23"/>
        <v>0</v>
      </c>
      <c r="P155" s="78">
        <f t="shared" si="24"/>
        <v>0</v>
      </c>
    </row>
    <row r="156" spans="2:16">
      <c r="C156" s="63" t="s">
        <v>75</v>
      </c>
      <c r="D156" s="19"/>
      <c r="E156" s="19">
        <f>SUM(E100:E155)</f>
        <v>3418188</v>
      </c>
      <c r="F156" s="19"/>
      <c r="G156" s="19"/>
      <c r="H156" s="19">
        <f>SUM(H100:H155)</f>
        <v>7572017.3878216511</v>
      </c>
      <c r="I156" s="19">
        <f>SUM(I100:I155)</f>
        <v>7572017.3878216511</v>
      </c>
      <c r="J156" s="19">
        <f>SUM(J100:J155)</f>
        <v>0</v>
      </c>
      <c r="K156" s="19"/>
      <c r="L156" s="19"/>
      <c r="M156" s="19"/>
      <c r="N156" s="19"/>
      <c r="O156" s="19"/>
      <c r="P156" s="1"/>
    </row>
    <row r="157" spans="2:16">
      <c r="C157" t="s">
        <v>90</v>
      </c>
      <c r="D157" s="2"/>
      <c r="E157" s="1"/>
      <c r="F157" s="1"/>
      <c r="G157" s="1"/>
      <c r="H157" s="1"/>
      <c r="I157" s="3"/>
      <c r="J157" s="3"/>
      <c r="K157" s="19"/>
      <c r="L157" s="3"/>
      <c r="M157" s="3"/>
      <c r="N157" s="3"/>
      <c r="O157" s="3"/>
      <c r="P157" s="1"/>
    </row>
    <row r="158" spans="2:16">
      <c r="C158" s="100"/>
      <c r="D158" s="2"/>
      <c r="E158" s="1"/>
      <c r="F158" s="1"/>
      <c r="G158" s="1"/>
      <c r="H158" s="1"/>
      <c r="I158" s="3"/>
      <c r="J158" s="3"/>
      <c r="K158" s="19"/>
      <c r="L158" s="3"/>
      <c r="M158" s="3"/>
      <c r="N158" s="3"/>
      <c r="O158" s="3"/>
      <c r="P158" s="1"/>
    </row>
    <row r="159" spans="2:16">
      <c r="C159" s="115" t="s">
        <v>130</v>
      </c>
      <c r="D159" s="2"/>
      <c r="E159" s="1"/>
      <c r="F159" s="1"/>
      <c r="G159" s="1"/>
      <c r="H159" s="1"/>
      <c r="I159" s="3"/>
      <c r="J159" s="3"/>
      <c r="K159" s="19"/>
      <c r="L159" s="3"/>
      <c r="M159" s="3"/>
      <c r="N159" s="3"/>
      <c r="O159" s="3"/>
      <c r="P159" s="1"/>
    </row>
    <row r="160" spans="2:16">
      <c r="C160" s="31" t="s">
        <v>76</v>
      </c>
      <c r="D160" s="63"/>
      <c r="E160" s="63"/>
      <c r="F160" s="63"/>
      <c r="G160" s="63"/>
      <c r="H160" s="19"/>
      <c r="I160" s="19"/>
      <c r="J160" s="80"/>
      <c r="K160" s="80"/>
      <c r="L160" s="80"/>
      <c r="M160" s="80"/>
      <c r="N160" s="80"/>
      <c r="O160" s="80"/>
      <c r="P160" s="1"/>
    </row>
    <row r="161" spans="3:16">
      <c r="C161" s="101" t="s">
        <v>77</v>
      </c>
      <c r="D161" s="63"/>
      <c r="E161" s="63"/>
      <c r="F161" s="63"/>
      <c r="G161" s="63"/>
      <c r="H161" s="19"/>
      <c r="I161" s="19"/>
      <c r="J161" s="80"/>
      <c r="K161" s="80"/>
      <c r="L161" s="80"/>
      <c r="M161" s="80"/>
      <c r="N161" s="80"/>
      <c r="O161" s="80"/>
      <c r="P161" s="1"/>
    </row>
    <row r="162" spans="3:16">
      <c r="C162" s="101"/>
      <c r="D162" s="63"/>
      <c r="E162" s="63"/>
      <c r="F162" s="63"/>
      <c r="G162" s="63"/>
      <c r="H162" s="19"/>
      <c r="I162" s="19"/>
      <c r="J162" s="80"/>
      <c r="K162" s="80"/>
      <c r="L162" s="80"/>
      <c r="M162" s="80"/>
      <c r="N162" s="80"/>
      <c r="O162" s="80"/>
      <c r="P162" s="1"/>
    </row>
    <row r="163" spans="3:16" ht="18">
      <c r="C163" s="101"/>
      <c r="D163" s="63"/>
      <c r="E163" s="63"/>
      <c r="F163" s="63"/>
      <c r="G163" s="63"/>
      <c r="H163" s="19"/>
      <c r="I163" s="19"/>
      <c r="J163" s="80"/>
      <c r="K163" s="80"/>
      <c r="L163" s="80"/>
      <c r="M163" s="80"/>
      <c r="N163" s="80"/>
      <c r="P163" s="112" t="s">
        <v>129</v>
      </c>
    </row>
  </sheetData>
  <conditionalFormatting sqref="C17:C71 C73">
    <cfRule type="cellIs" dxfId="14" priority="2" stopIfTrue="1" operator="equal">
      <formula>$I$10</formula>
    </cfRule>
  </conditionalFormatting>
  <conditionalFormatting sqref="C100:C155">
    <cfRule type="cellIs" dxfId="13" priority="3" stopIfTrue="1" operator="equal">
      <formula>$J$93</formula>
    </cfRule>
  </conditionalFormatting>
  <conditionalFormatting sqref="C72">
    <cfRule type="cellIs" dxfId="12" priority="1" stopIfTrue="1" operator="equal">
      <formula>$I$10</formula>
    </cfRule>
  </conditionalFormatting>
  <pageMargins left="0.5" right="0.25" top="1" bottom="0.5" header="0.25" footer="0.5"/>
  <pageSetup scale="47" orientation="landscape" r:id="rId1"/>
  <headerFooter>
    <oddHeader xml:space="preserve">&amp;R&amp;18AEPTCo - SPP Formula Rate
&amp;A TCOS - Worksheets F and G
Section IV -- (BPU Project Tables)
Page: &amp;P of &amp;N
</oddHeader>
    <oddFooter>&amp;L&amp;A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zoomScale="80" zoomScaleNormal="80" workbookViewId="0"/>
  </sheetViews>
  <sheetFormatPr defaultRowHeight="12.75"/>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110" t="s">
        <v>189</v>
      </c>
      <c r="B1" s="1"/>
      <c r="C1" s="9"/>
      <c r="D1" s="2"/>
      <c r="E1" s="1"/>
      <c r="F1" s="14"/>
      <c r="G1" s="1"/>
      <c r="H1" s="3"/>
      <c r="J1" s="7"/>
      <c r="K1" s="18"/>
      <c r="L1" s="18"/>
      <c r="M1" s="18"/>
      <c r="P1" s="116" t="str">
        <f ca="1">"OKT Project "&amp;RIGHT(MID(CELL("filename",$A$1),FIND("]",CELL("filename",$A$1))+1,256),2)&amp;" of "&amp;COUNT('OKT.001:OKT.xyz - blank'!$P$3)-1</f>
        <v>OKT Project 21 of 23</v>
      </c>
    </row>
    <row r="2" spans="1:16" ht="18">
      <c r="B2" s="1"/>
      <c r="C2" s="1"/>
      <c r="D2" s="2"/>
      <c r="E2" s="1"/>
      <c r="F2" s="1"/>
      <c r="G2" s="1"/>
      <c r="H2" s="3"/>
      <c r="I2" s="1"/>
      <c r="J2" s="4"/>
      <c r="K2" s="1"/>
      <c r="L2" s="1"/>
      <c r="M2" s="1"/>
      <c r="N2" s="1"/>
      <c r="P2" s="117" t="s">
        <v>131</v>
      </c>
    </row>
    <row r="3" spans="1:16" ht="18.75">
      <c r="B3" s="5" t="s">
        <v>42</v>
      </c>
      <c r="C3" s="13" t="s">
        <v>43</v>
      </c>
      <c r="D3" s="2"/>
      <c r="E3" s="1"/>
      <c r="F3" s="1"/>
      <c r="G3" s="1"/>
      <c r="H3" s="3"/>
      <c r="I3" s="3"/>
      <c r="J3" s="19"/>
      <c r="K3" s="3"/>
      <c r="L3" s="3"/>
      <c r="M3" s="3"/>
      <c r="N3" s="3"/>
      <c r="O3" s="1"/>
      <c r="P3" s="108">
        <v>1</v>
      </c>
    </row>
    <row r="4" spans="1:16" ht="15.75" thickBot="1">
      <c r="C4" s="12"/>
      <c r="D4" s="2"/>
      <c r="E4" s="1"/>
      <c r="F4" s="1"/>
      <c r="G4" s="1"/>
      <c r="H4" s="3"/>
      <c r="I4" s="3"/>
      <c r="J4" s="19"/>
      <c r="K4" s="3"/>
      <c r="L4" s="3"/>
      <c r="M4" s="3"/>
      <c r="N4" s="3"/>
      <c r="O4" s="1"/>
      <c r="P4" s="1"/>
    </row>
    <row r="5" spans="1:16" ht="15">
      <c r="C5" s="20" t="s">
        <v>44</v>
      </c>
      <c r="D5" s="2"/>
      <c r="E5" s="1"/>
      <c r="F5" s="1"/>
      <c r="G5" s="21"/>
      <c r="H5" s="1" t="s">
        <v>45</v>
      </c>
      <c r="I5" s="1"/>
      <c r="J5" s="4"/>
      <c r="K5" s="22" t="s">
        <v>242</v>
      </c>
      <c r="L5" s="23"/>
      <c r="M5" s="24"/>
      <c r="N5" s="25">
        <f>VLOOKUP(I10,C17:I73,5)</f>
        <v>131587.24825136422</v>
      </c>
      <c r="P5" s="1"/>
    </row>
    <row r="6" spans="1:16" ht="15.75">
      <c r="C6" s="8"/>
      <c r="D6" s="2"/>
      <c r="E6" s="1"/>
      <c r="F6" s="1"/>
      <c r="G6" s="1"/>
      <c r="H6" s="26"/>
      <c r="I6" s="26"/>
      <c r="J6" s="27"/>
      <c r="K6" s="28" t="s">
        <v>243</v>
      </c>
      <c r="L6" s="29"/>
      <c r="M6" s="4"/>
      <c r="N6" s="30">
        <f>VLOOKUP(I10,C17:I73,6)</f>
        <v>131587.24825136422</v>
      </c>
      <c r="O6" s="1"/>
      <c r="P6" s="1"/>
    </row>
    <row r="7" spans="1:16" ht="13.5" thickBot="1">
      <c r="C7" s="31" t="s">
        <v>46</v>
      </c>
      <c r="D7" s="637" t="s">
        <v>316</v>
      </c>
      <c r="E7" s="1"/>
      <c r="F7" s="1"/>
      <c r="G7" s="1"/>
      <c r="H7" s="3"/>
      <c r="I7" s="3"/>
      <c r="J7" s="19"/>
      <c r="K7" s="32" t="s">
        <v>47</v>
      </c>
      <c r="L7" s="33"/>
      <c r="M7" s="33"/>
      <c r="N7" s="34">
        <f>+N6-N5</f>
        <v>0</v>
      </c>
      <c r="O7" s="1"/>
      <c r="P7" s="1"/>
    </row>
    <row r="8" spans="1:16" ht="13.5" thickBot="1">
      <c r="C8" s="35"/>
      <c r="D8" s="114"/>
      <c r="E8" s="36"/>
      <c r="F8" s="36"/>
      <c r="G8" s="36"/>
      <c r="H8" s="36"/>
      <c r="I8" s="36"/>
      <c r="J8" s="15"/>
      <c r="K8" s="36"/>
      <c r="L8" s="36"/>
      <c r="M8" s="36"/>
      <c r="N8" s="36"/>
      <c r="O8" s="15"/>
      <c r="P8" s="9"/>
    </row>
    <row r="9" spans="1:16" ht="13.5" thickBot="1">
      <c r="C9" s="37" t="s">
        <v>48</v>
      </c>
      <c r="D9" s="106" t="s">
        <v>317</v>
      </c>
      <c r="E9" s="647" t="s">
        <v>293</v>
      </c>
      <c r="F9" s="38"/>
      <c r="G9" s="38"/>
      <c r="H9" s="38"/>
      <c r="I9" s="39"/>
      <c r="J9" s="40"/>
      <c r="O9" s="41"/>
      <c r="P9" s="4"/>
    </row>
    <row r="10" spans="1:16">
      <c r="C10" s="42" t="s">
        <v>49</v>
      </c>
      <c r="D10" s="43">
        <v>2117590</v>
      </c>
      <c r="E10" s="11" t="s">
        <v>50</v>
      </c>
      <c r="F10" s="41"/>
      <c r="G10" s="44"/>
      <c r="H10" s="44"/>
      <c r="I10" s="45">
        <f>+OKT.WS.F.BPU.ATRR.Projected!R101</f>
        <v>2022</v>
      </c>
      <c r="J10" s="40"/>
      <c r="K10" s="19" t="s">
        <v>51</v>
      </c>
      <c r="O10" s="4"/>
      <c r="P10" s="4"/>
    </row>
    <row r="11" spans="1:16">
      <c r="C11" s="46" t="s">
        <v>52</v>
      </c>
      <c r="D11" s="47">
        <v>2022</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c r="C12" s="46" t="s">
        <v>54</v>
      </c>
      <c r="D12" s="43">
        <v>10</v>
      </c>
      <c r="E12" s="46" t="s">
        <v>55</v>
      </c>
      <c r="F12" s="44"/>
      <c r="G12" s="7"/>
      <c r="H12" s="7"/>
      <c r="I12" s="50">
        <f>OKT.WS.F.BPU.ATRR.Projected!$F$79</f>
        <v>0.11475877389767174</v>
      </c>
      <c r="J12" s="51"/>
      <c r="K12" t="s">
        <v>56</v>
      </c>
      <c r="O12" s="4"/>
      <c r="P12" s="4"/>
    </row>
    <row r="13" spans="1:16">
      <c r="C13" s="46" t="s">
        <v>57</v>
      </c>
      <c r="D13" s="48">
        <f>+OKT.WS.F.BPU.ATRR.Projected!F$90</f>
        <v>33</v>
      </c>
      <c r="E13" s="46" t="s">
        <v>58</v>
      </c>
      <c r="F13" s="44"/>
      <c r="G13" s="7"/>
      <c r="H13" s="7"/>
      <c r="I13" s="50">
        <f>IF(G5="",I12,OKT.WS.F.BPU.ATRR.Projected!$F$78)</f>
        <v>0.11475877389767174</v>
      </c>
      <c r="J13" s="51"/>
      <c r="K13" s="19" t="s">
        <v>59</v>
      </c>
      <c r="L13" s="10"/>
      <c r="M13" s="10"/>
      <c r="N13" s="10"/>
      <c r="O13" s="4"/>
      <c r="P13" s="4"/>
    </row>
    <row r="14" spans="1:16" ht="13.5" thickBot="1">
      <c r="C14" s="46" t="s">
        <v>60</v>
      </c>
      <c r="D14" s="47" t="s">
        <v>61</v>
      </c>
      <c r="E14" s="4" t="s">
        <v>62</v>
      </c>
      <c r="F14" s="44"/>
      <c r="G14" s="7"/>
      <c r="H14" s="7"/>
      <c r="I14" s="52">
        <f>IF(D10=0,0,D10/D13)</f>
        <v>64169.393939393936</v>
      </c>
      <c r="J14" s="19"/>
      <c r="K14" s="19"/>
      <c r="L14" s="19"/>
      <c r="M14" s="19"/>
      <c r="N14" s="19"/>
      <c r="O14" s="4"/>
      <c r="P14" s="4"/>
    </row>
    <row r="15" spans="1:16" ht="38.25">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c r="B17" t="str">
        <f t="shared" ref="B17:B71" si="0">IF(D17=F16,"","IU")</f>
        <v>IU</v>
      </c>
      <c r="C17" s="62">
        <f>IF(D11= "","-",D11)</f>
        <v>2022</v>
      </c>
      <c r="D17" s="63">
        <v>0</v>
      </c>
      <c r="E17" s="64">
        <f>IF(D10&gt;=100000,I$14/12*(12-D12),0)</f>
        <v>10694.898989898989</v>
      </c>
      <c r="F17" s="68">
        <f>IF(D11=C17,+D10-E17,+D17-E17)</f>
        <v>2106895.1010101009</v>
      </c>
      <c r="G17" s="64">
        <f>(D17+F17)/2*I$12+E17</f>
        <v>131587.24825136422</v>
      </c>
      <c r="H17" s="52">
        <f>+(D17+F17)/2*I$13+E17</f>
        <v>131587.24825136422</v>
      </c>
      <c r="I17" s="65">
        <f t="shared" ref="I17:I71" si="1">H17-G17</f>
        <v>0</v>
      </c>
      <c r="J17" s="65"/>
      <c r="K17" s="132"/>
      <c r="L17" s="66">
        <f t="shared" ref="L17" si="2">IF(K17&lt;&gt;0,+G17-K17,0)</f>
        <v>0</v>
      </c>
      <c r="M17" s="132"/>
      <c r="N17" s="66">
        <f t="shared" ref="N17:N71" si="3">IF(M17&lt;&gt;0,+H17-M17,0)</f>
        <v>0</v>
      </c>
      <c r="O17" s="67">
        <f t="shared" ref="O17:O71" si="4">+N17-L17</f>
        <v>0</v>
      </c>
      <c r="P17" s="4"/>
    </row>
    <row r="18" spans="2:16">
      <c r="B18" t="str">
        <f t="shared" si="0"/>
        <v/>
      </c>
      <c r="C18" s="62">
        <f>IF(D11="","-",+C17+1)</f>
        <v>2023</v>
      </c>
      <c r="D18" s="71">
        <f>IF(F17+SUM(E$17:E17)=D$10,F17,D$10-SUM(E$17:E17))</f>
        <v>2106895.1010101009</v>
      </c>
      <c r="E18" s="69">
        <f t="shared" ref="E18:E71" si="5">IF(+I$14&lt;F17,I$14,D18)</f>
        <v>64169.393939393936</v>
      </c>
      <c r="F18" s="68">
        <f t="shared" ref="F18:F71" si="6">+D18-E18</f>
        <v>2042725.7070707069</v>
      </c>
      <c r="G18" s="70">
        <f t="shared" ref="G18:G71" si="7">(D18+F18)/2*I$12+E18</f>
        <v>302272.09197720361</v>
      </c>
      <c r="H18" s="52">
        <f t="shared" ref="H18:H71" si="8">+(D18+F18)/2*I$13+E18</f>
        <v>302272.09197720361</v>
      </c>
      <c r="I18" s="65">
        <f t="shared" si="1"/>
        <v>0</v>
      </c>
      <c r="J18" s="65"/>
      <c r="K18" s="130"/>
      <c r="L18" s="67">
        <f t="shared" ref="L18:L71" si="9">IF(K18&lt;&gt;0,+G18-K18,0)</f>
        <v>0</v>
      </c>
      <c r="M18" s="130"/>
      <c r="N18" s="67">
        <f t="shared" si="3"/>
        <v>0</v>
      </c>
      <c r="O18" s="67">
        <f t="shared" si="4"/>
        <v>0</v>
      </c>
      <c r="P18" s="4"/>
    </row>
    <row r="19" spans="2:16">
      <c r="B19" t="str">
        <f t="shared" si="0"/>
        <v/>
      </c>
      <c r="C19" s="62">
        <f>IF(D11="","-",+C18+1)</f>
        <v>2024</v>
      </c>
      <c r="D19" s="71">
        <f>IF(F18+SUM(E$17:E18)=D$10,F18,D$10-SUM(E$17:E18))</f>
        <v>2042725.7070707069</v>
      </c>
      <c r="E19" s="69">
        <f t="shared" si="5"/>
        <v>64169.393939393936</v>
      </c>
      <c r="F19" s="68">
        <f t="shared" si="6"/>
        <v>1978556.3131313128</v>
      </c>
      <c r="G19" s="70">
        <f t="shared" si="7"/>
        <v>294908.09100696206</v>
      </c>
      <c r="H19" s="52">
        <f t="shared" si="8"/>
        <v>294908.09100696206</v>
      </c>
      <c r="I19" s="65">
        <f t="shared" si="1"/>
        <v>0</v>
      </c>
      <c r="J19" s="65"/>
      <c r="K19" s="130"/>
      <c r="L19" s="67">
        <f t="shared" si="9"/>
        <v>0</v>
      </c>
      <c r="M19" s="130"/>
      <c r="N19" s="67">
        <f t="shared" si="3"/>
        <v>0</v>
      </c>
      <c r="O19" s="67">
        <f t="shared" si="4"/>
        <v>0</v>
      </c>
      <c r="P19" s="4"/>
    </row>
    <row r="20" spans="2:16">
      <c r="B20" t="str">
        <f t="shared" si="0"/>
        <v/>
      </c>
      <c r="C20" s="62">
        <f>IF(D11="","-",+C19+1)</f>
        <v>2025</v>
      </c>
      <c r="D20" s="71">
        <f>IF(F19+SUM(E$17:E19)=D$10,F19,D$10-SUM(E$17:E19))</f>
        <v>1978556.3131313128</v>
      </c>
      <c r="E20" s="69">
        <f t="shared" si="5"/>
        <v>64169.393939393936</v>
      </c>
      <c r="F20" s="68">
        <f t="shared" si="6"/>
        <v>1914386.9191919188</v>
      </c>
      <c r="G20" s="70">
        <f t="shared" si="7"/>
        <v>287544.0900367205</v>
      </c>
      <c r="H20" s="52">
        <f t="shared" si="8"/>
        <v>287544.0900367205</v>
      </c>
      <c r="I20" s="65">
        <f t="shared" si="1"/>
        <v>0</v>
      </c>
      <c r="J20" s="65"/>
      <c r="K20" s="130"/>
      <c r="L20" s="67">
        <f t="shared" si="9"/>
        <v>0</v>
      </c>
      <c r="M20" s="130"/>
      <c r="N20" s="67">
        <f t="shared" si="3"/>
        <v>0</v>
      </c>
      <c r="O20" s="67">
        <f t="shared" si="4"/>
        <v>0</v>
      </c>
      <c r="P20" s="4"/>
    </row>
    <row r="21" spans="2:16">
      <c r="B21" t="str">
        <f t="shared" si="0"/>
        <v/>
      </c>
      <c r="C21" s="62">
        <f>IF(D11="","-",+C20+1)</f>
        <v>2026</v>
      </c>
      <c r="D21" s="71">
        <f>IF(F20+SUM(E$17:E20)=D$10,F20,D$10-SUM(E$17:E20))</f>
        <v>1914386.9191919188</v>
      </c>
      <c r="E21" s="69">
        <f t="shared" si="5"/>
        <v>64169.393939393936</v>
      </c>
      <c r="F21" s="68">
        <f t="shared" si="6"/>
        <v>1850217.5252525248</v>
      </c>
      <c r="G21" s="70">
        <f t="shared" si="7"/>
        <v>280180.08906647895</v>
      </c>
      <c r="H21" s="52">
        <f t="shared" si="8"/>
        <v>280180.08906647895</v>
      </c>
      <c r="I21" s="65">
        <f t="shared" si="1"/>
        <v>0</v>
      </c>
      <c r="J21" s="65"/>
      <c r="K21" s="130"/>
      <c r="L21" s="67">
        <f t="shared" si="9"/>
        <v>0</v>
      </c>
      <c r="M21" s="130"/>
      <c r="N21" s="67">
        <f t="shared" si="3"/>
        <v>0</v>
      </c>
      <c r="O21" s="67">
        <f t="shared" si="4"/>
        <v>0</v>
      </c>
      <c r="P21" s="4"/>
    </row>
    <row r="22" spans="2:16">
      <c r="B22" t="str">
        <f t="shared" si="0"/>
        <v/>
      </c>
      <c r="C22" s="62">
        <f>IF(D11="","-",+C21+1)</f>
        <v>2027</v>
      </c>
      <c r="D22" s="71">
        <f>IF(F21+SUM(E$17:E21)=D$10,F21,D$10-SUM(E$17:E21))</f>
        <v>1850217.5252525248</v>
      </c>
      <c r="E22" s="69">
        <f t="shared" si="5"/>
        <v>64169.393939393936</v>
      </c>
      <c r="F22" s="68">
        <f t="shared" si="6"/>
        <v>1786048.1313131307</v>
      </c>
      <c r="G22" s="70">
        <f t="shared" si="7"/>
        <v>272816.08809623739</v>
      </c>
      <c r="H22" s="52">
        <f t="shared" si="8"/>
        <v>272816.08809623739</v>
      </c>
      <c r="I22" s="65">
        <f t="shared" si="1"/>
        <v>0</v>
      </c>
      <c r="J22" s="65"/>
      <c r="K22" s="130"/>
      <c r="L22" s="67">
        <f t="shared" si="9"/>
        <v>0</v>
      </c>
      <c r="M22" s="130"/>
      <c r="N22" s="67">
        <f t="shared" si="3"/>
        <v>0</v>
      </c>
      <c r="O22" s="67">
        <f t="shared" si="4"/>
        <v>0</v>
      </c>
      <c r="P22" s="4"/>
    </row>
    <row r="23" spans="2:16">
      <c r="B23" t="str">
        <f t="shared" si="0"/>
        <v/>
      </c>
      <c r="C23" s="62">
        <f>IF(D11="","-",+C22+1)</f>
        <v>2028</v>
      </c>
      <c r="D23" s="71">
        <f>IF(F22+SUM(E$17:E22)=D$10,F22,D$10-SUM(E$17:E22))</f>
        <v>1786048.1313131307</v>
      </c>
      <c r="E23" s="69">
        <f t="shared" si="5"/>
        <v>64169.393939393936</v>
      </c>
      <c r="F23" s="68">
        <f t="shared" si="6"/>
        <v>1721878.7373737367</v>
      </c>
      <c r="G23" s="70">
        <f t="shared" si="7"/>
        <v>265452.08712599584</v>
      </c>
      <c r="H23" s="52">
        <f t="shared" si="8"/>
        <v>265452.08712599584</v>
      </c>
      <c r="I23" s="65">
        <f t="shared" si="1"/>
        <v>0</v>
      </c>
      <c r="J23" s="65"/>
      <c r="K23" s="130"/>
      <c r="L23" s="67">
        <f t="shared" si="9"/>
        <v>0</v>
      </c>
      <c r="M23" s="130"/>
      <c r="N23" s="67">
        <f t="shared" si="3"/>
        <v>0</v>
      </c>
      <c r="O23" s="67">
        <f t="shared" si="4"/>
        <v>0</v>
      </c>
      <c r="P23" s="4"/>
    </row>
    <row r="24" spans="2:16">
      <c r="B24" t="str">
        <f t="shared" si="0"/>
        <v/>
      </c>
      <c r="C24" s="62">
        <f>IF(D11="","-",+C23+1)</f>
        <v>2029</v>
      </c>
      <c r="D24" s="71">
        <f>IF(F23+SUM(E$17:E23)=D$10,F23,D$10-SUM(E$17:E23))</f>
        <v>1721878.7373737367</v>
      </c>
      <c r="E24" s="69">
        <f t="shared" si="5"/>
        <v>64169.393939393936</v>
      </c>
      <c r="F24" s="68">
        <f t="shared" si="6"/>
        <v>1657709.3434343426</v>
      </c>
      <c r="G24" s="70">
        <f t="shared" si="7"/>
        <v>258088.08615575428</v>
      </c>
      <c r="H24" s="52">
        <f t="shared" si="8"/>
        <v>258088.08615575428</v>
      </c>
      <c r="I24" s="65">
        <f t="shared" si="1"/>
        <v>0</v>
      </c>
      <c r="J24" s="65"/>
      <c r="K24" s="130"/>
      <c r="L24" s="67">
        <f t="shared" si="9"/>
        <v>0</v>
      </c>
      <c r="M24" s="130"/>
      <c r="N24" s="67">
        <f t="shared" si="3"/>
        <v>0</v>
      </c>
      <c r="O24" s="67">
        <f t="shared" si="4"/>
        <v>0</v>
      </c>
      <c r="P24" s="4"/>
    </row>
    <row r="25" spans="2:16">
      <c r="B25" t="str">
        <f t="shared" si="0"/>
        <v/>
      </c>
      <c r="C25" s="62">
        <f>IF(D11="","-",+C24+1)</f>
        <v>2030</v>
      </c>
      <c r="D25" s="71">
        <f>IF(F24+SUM(E$17:E24)=D$10,F24,D$10-SUM(E$17:E24))</f>
        <v>1657709.3434343426</v>
      </c>
      <c r="E25" s="69">
        <f t="shared" si="5"/>
        <v>64169.393939393936</v>
      </c>
      <c r="F25" s="68">
        <f t="shared" si="6"/>
        <v>1593539.9494949486</v>
      </c>
      <c r="G25" s="70">
        <f t="shared" si="7"/>
        <v>250724.08518551278</v>
      </c>
      <c r="H25" s="52">
        <f t="shared" si="8"/>
        <v>250724.08518551278</v>
      </c>
      <c r="I25" s="65">
        <f t="shared" si="1"/>
        <v>0</v>
      </c>
      <c r="J25" s="65"/>
      <c r="K25" s="130"/>
      <c r="L25" s="67">
        <f t="shared" si="9"/>
        <v>0</v>
      </c>
      <c r="M25" s="130"/>
      <c r="N25" s="67">
        <f t="shared" si="3"/>
        <v>0</v>
      </c>
      <c r="O25" s="67">
        <f t="shared" si="4"/>
        <v>0</v>
      </c>
      <c r="P25" s="4"/>
    </row>
    <row r="26" spans="2:16">
      <c r="B26" t="str">
        <f t="shared" si="0"/>
        <v/>
      </c>
      <c r="C26" s="62">
        <f>IF(D11="","-",+C25+1)</f>
        <v>2031</v>
      </c>
      <c r="D26" s="71">
        <f>IF(F25+SUM(E$17:E25)=D$10,F25,D$10-SUM(E$17:E25))</f>
        <v>1593539.9494949486</v>
      </c>
      <c r="E26" s="69">
        <f t="shared" si="5"/>
        <v>64169.393939393936</v>
      </c>
      <c r="F26" s="68">
        <f t="shared" si="6"/>
        <v>1529370.5555555546</v>
      </c>
      <c r="G26" s="70">
        <f t="shared" si="7"/>
        <v>243360.08421527123</v>
      </c>
      <c r="H26" s="52">
        <f t="shared" si="8"/>
        <v>243360.08421527123</v>
      </c>
      <c r="I26" s="65">
        <f t="shared" si="1"/>
        <v>0</v>
      </c>
      <c r="J26" s="65"/>
      <c r="K26" s="130"/>
      <c r="L26" s="67">
        <f t="shared" si="9"/>
        <v>0</v>
      </c>
      <c r="M26" s="130"/>
      <c r="N26" s="67">
        <f t="shared" si="3"/>
        <v>0</v>
      </c>
      <c r="O26" s="67">
        <f t="shared" si="4"/>
        <v>0</v>
      </c>
      <c r="P26" s="4"/>
    </row>
    <row r="27" spans="2:16">
      <c r="B27" t="str">
        <f t="shared" si="0"/>
        <v/>
      </c>
      <c r="C27" s="62">
        <f>IF(D11="","-",+C26+1)</f>
        <v>2032</v>
      </c>
      <c r="D27" s="71">
        <f>IF(F26+SUM(E$17:E26)=D$10,F26,D$10-SUM(E$17:E26))</f>
        <v>1529370.5555555546</v>
      </c>
      <c r="E27" s="69">
        <f t="shared" si="5"/>
        <v>64169.393939393936</v>
      </c>
      <c r="F27" s="68">
        <f t="shared" si="6"/>
        <v>1465201.1616161605</v>
      </c>
      <c r="G27" s="70">
        <f t="shared" si="7"/>
        <v>235996.08324502967</v>
      </c>
      <c r="H27" s="52">
        <f t="shared" si="8"/>
        <v>235996.08324502967</v>
      </c>
      <c r="I27" s="65">
        <f t="shared" si="1"/>
        <v>0</v>
      </c>
      <c r="J27" s="65"/>
      <c r="K27" s="130"/>
      <c r="L27" s="67">
        <f t="shared" si="9"/>
        <v>0</v>
      </c>
      <c r="M27" s="130"/>
      <c r="N27" s="67">
        <f t="shared" si="3"/>
        <v>0</v>
      </c>
      <c r="O27" s="67">
        <f t="shared" si="4"/>
        <v>0</v>
      </c>
      <c r="P27" s="4"/>
    </row>
    <row r="28" spans="2:16">
      <c r="B28" t="str">
        <f t="shared" si="0"/>
        <v/>
      </c>
      <c r="C28" s="62">
        <f>IF(D11="","-",+C27+1)</f>
        <v>2033</v>
      </c>
      <c r="D28" s="71">
        <f>IF(F27+SUM(E$17:E27)=D$10,F27,D$10-SUM(E$17:E27))</f>
        <v>1465201.1616161605</v>
      </c>
      <c r="E28" s="69">
        <f t="shared" si="5"/>
        <v>64169.393939393936</v>
      </c>
      <c r="F28" s="68">
        <f t="shared" si="6"/>
        <v>1401031.7676767665</v>
      </c>
      <c r="G28" s="70">
        <f t="shared" si="7"/>
        <v>228632.08227478812</v>
      </c>
      <c r="H28" s="52">
        <f t="shared" si="8"/>
        <v>228632.08227478812</v>
      </c>
      <c r="I28" s="65">
        <f t="shared" si="1"/>
        <v>0</v>
      </c>
      <c r="J28" s="65"/>
      <c r="K28" s="130"/>
      <c r="L28" s="67">
        <f t="shared" si="9"/>
        <v>0</v>
      </c>
      <c r="M28" s="130"/>
      <c r="N28" s="67">
        <f t="shared" si="3"/>
        <v>0</v>
      </c>
      <c r="O28" s="67">
        <f t="shared" si="4"/>
        <v>0</v>
      </c>
      <c r="P28" s="4"/>
    </row>
    <row r="29" spans="2:16">
      <c r="B29" t="str">
        <f t="shared" si="0"/>
        <v/>
      </c>
      <c r="C29" s="62">
        <f>IF(D11="","-",+C28+1)</f>
        <v>2034</v>
      </c>
      <c r="D29" s="71">
        <f>IF(F28+SUM(E$17:E28)=D$10,F28,D$10-SUM(E$17:E28))</f>
        <v>1401031.7676767665</v>
      </c>
      <c r="E29" s="69">
        <f t="shared" si="5"/>
        <v>64169.393939393936</v>
      </c>
      <c r="F29" s="68">
        <f t="shared" si="6"/>
        <v>1336862.3737373725</v>
      </c>
      <c r="G29" s="70">
        <f t="shared" si="7"/>
        <v>221268.08130454656</v>
      </c>
      <c r="H29" s="52">
        <f t="shared" si="8"/>
        <v>221268.08130454656</v>
      </c>
      <c r="I29" s="65">
        <f t="shared" si="1"/>
        <v>0</v>
      </c>
      <c r="J29" s="65"/>
      <c r="K29" s="130"/>
      <c r="L29" s="67">
        <f t="shared" si="9"/>
        <v>0</v>
      </c>
      <c r="M29" s="130"/>
      <c r="N29" s="67">
        <f t="shared" si="3"/>
        <v>0</v>
      </c>
      <c r="O29" s="67">
        <f t="shared" si="4"/>
        <v>0</v>
      </c>
      <c r="P29" s="4"/>
    </row>
    <row r="30" spans="2:16">
      <c r="B30" t="str">
        <f t="shared" si="0"/>
        <v/>
      </c>
      <c r="C30" s="62">
        <f>IF(D11="","-",+C29+1)</f>
        <v>2035</v>
      </c>
      <c r="D30" s="71">
        <f>IF(F29+SUM(E$17:E29)=D$10,F29,D$10-SUM(E$17:E29))</f>
        <v>1336862.3737373725</v>
      </c>
      <c r="E30" s="69">
        <f t="shared" si="5"/>
        <v>64169.393939393936</v>
      </c>
      <c r="F30" s="68">
        <f t="shared" si="6"/>
        <v>1272692.9797979784</v>
      </c>
      <c r="G30" s="70">
        <f t="shared" si="7"/>
        <v>213904.08033430501</v>
      </c>
      <c r="H30" s="52">
        <f t="shared" si="8"/>
        <v>213904.08033430501</v>
      </c>
      <c r="I30" s="65">
        <f t="shared" si="1"/>
        <v>0</v>
      </c>
      <c r="J30" s="65"/>
      <c r="K30" s="130"/>
      <c r="L30" s="67">
        <f t="shared" si="9"/>
        <v>0</v>
      </c>
      <c r="M30" s="130"/>
      <c r="N30" s="67">
        <f t="shared" si="3"/>
        <v>0</v>
      </c>
      <c r="O30" s="67">
        <f t="shared" si="4"/>
        <v>0</v>
      </c>
      <c r="P30" s="4"/>
    </row>
    <row r="31" spans="2:16">
      <c r="B31" t="str">
        <f t="shared" si="0"/>
        <v/>
      </c>
      <c r="C31" s="62">
        <f>IF(D11="","-",+C30+1)</f>
        <v>2036</v>
      </c>
      <c r="D31" s="71">
        <f>IF(F30+SUM(E$17:E30)=D$10,F30,D$10-SUM(E$17:E30))</f>
        <v>1272692.9797979784</v>
      </c>
      <c r="E31" s="69">
        <f t="shared" si="5"/>
        <v>64169.393939393936</v>
      </c>
      <c r="F31" s="68">
        <f t="shared" si="6"/>
        <v>1208523.5858585844</v>
      </c>
      <c r="G31" s="70">
        <f t="shared" si="7"/>
        <v>206540.07936406345</v>
      </c>
      <c r="H31" s="52">
        <f t="shared" si="8"/>
        <v>206540.07936406345</v>
      </c>
      <c r="I31" s="65">
        <f t="shared" si="1"/>
        <v>0</v>
      </c>
      <c r="J31" s="65"/>
      <c r="K31" s="130"/>
      <c r="L31" s="67">
        <f t="shared" si="9"/>
        <v>0</v>
      </c>
      <c r="M31" s="130"/>
      <c r="N31" s="67">
        <f t="shared" si="3"/>
        <v>0</v>
      </c>
      <c r="O31" s="67">
        <f t="shared" si="4"/>
        <v>0</v>
      </c>
      <c r="P31" s="4"/>
    </row>
    <row r="32" spans="2:16">
      <c r="B32" t="str">
        <f t="shared" si="0"/>
        <v/>
      </c>
      <c r="C32" s="62">
        <f>IF(D11="","-",+C31+1)</f>
        <v>2037</v>
      </c>
      <c r="D32" s="71">
        <f>IF(F31+SUM(E$17:E31)=D$10,F31,D$10-SUM(E$17:E31))</f>
        <v>1208523.5858585844</v>
      </c>
      <c r="E32" s="69">
        <f t="shared" si="5"/>
        <v>64169.393939393936</v>
      </c>
      <c r="F32" s="68">
        <f t="shared" si="6"/>
        <v>1144354.1919191903</v>
      </c>
      <c r="G32" s="70">
        <f t="shared" si="7"/>
        <v>199176.0783938219</v>
      </c>
      <c r="H32" s="52">
        <f t="shared" si="8"/>
        <v>199176.0783938219</v>
      </c>
      <c r="I32" s="65">
        <f t="shared" si="1"/>
        <v>0</v>
      </c>
      <c r="J32" s="65"/>
      <c r="K32" s="130"/>
      <c r="L32" s="67">
        <f t="shared" si="9"/>
        <v>0</v>
      </c>
      <c r="M32" s="130"/>
      <c r="N32" s="67">
        <f t="shared" si="3"/>
        <v>0</v>
      </c>
      <c r="O32" s="67">
        <f t="shared" si="4"/>
        <v>0</v>
      </c>
      <c r="P32" s="4"/>
    </row>
    <row r="33" spans="2:16">
      <c r="B33" t="str">
        <f t="shared" si="0"/>
        <v/>
      </c>
      <c r="C33" s="62">
        <f>IF(D11="","-",+C32+1)</f>
        <v>2038</v>
      </c>
      <c r="D33" s="71">
        <f>IF(F32+SUM(E$17:E32)=D$10,F32,D$10-SUM(E$17:E32))</f>
        <v>1144354.1919191903</v>
      </c>
      <c r="E33" s="69">
        <f t="shared" si="5"/>
        <v>64169.393939393936</v>
      </c>
      <c r="F33" s="68">
        <f t="shared" si="6"/>
        <v>1080184.7979797963</v>
      </c>
      <c r="G33" s="70">
        <f t="shared" si="7"/>
        <v>191812.0774235804</v>
      </c>
      <c r="H33" s="52">
        <f t="shared" si="8"/>
        <v>191812.0774235804</v>
      </c>
      <c r="I33" s="65">
        <f t="shared" si="1"/>
        <v>0</v>
      </c>
      <c r="J33" s="65"/>
      <c r="K33" s="130"/>
      <c r="L33" s="67">
        <f t="shared" si="9"/>
        <v>0</v>
      </c>
      <c r="M33" s="130"/>
      <c r="N33" s="67">
        <f t="shared" si="3"/>
        <v>0</v>
      </c>
      <c r="O33" s="67">
        <f t="shared" si="4"/>
        <v>0</v>
      </c>
      <c r="P33" s="4"/>
    </row>
    <row r="34" spans="2:16">
      <c r="B34" t="str">
        <f t="shared" si="0"/>
        <v/>
      </c>
      <c r="C34" s="62">
        <f>IF(D11="","-",+C33+1)</f>
        <v>2039</v>
      </c>
      <c r="D34" s="71">
        <f>IF(F33+SUM(E$17:E33)=D$10,F33,D$10-SUM(E$17:E33))</f>
        <v>1080184.7979797963</v>
      </c>
      <c r="E34" s="69">
        <f t="shared" si="5"/>
        <v>64169.393939393936</v>
      </c>
      <c r="F34" s="68">
        <f t="shared" si="6"/>
        <v>1016015.4040404024</v>
      </c>
      <c r="G34" s="70">
        <f t="shared" si="7"/>
        <v>184448.07645333884</v>
      </c>
      <c r="H34" s="52">
        <f t="shared" si="8"/>
        <v>184448.07645333884</v>
      </c>
      <c r="I34" s="65">
        <f t="shared" si="1"/>
        <v>0</v>
      </c>
      <c r="J34" s="65"/>
      <c r="K34" s="130"/>
      <c r="L34" s="67">
        <f t="shared" si="9"/>
        <v>0</v>
      </c>
      <c r="M34" s="130"/>
      <c r="N34" s="67">
        <f t="shared" si="3"/>
        <v>0</v>
      </c>
      <c r="O34" s="67">
        <f t="shared" si="4"/>
        <v>0</v>
      </c>
      <c r="P34" s="4"/>
    </row>
    <row r="35" spans="2:16">
      <c r="B35" t="str">
        <f t="shared" si="0"/>
        <v/>
      </c>
      <c r="C35" s="62">
        <f>IF(D11="","-",+C34+1)</f>
        <v>2040</v>
      </c>
      <c r="D35" s="71">
        <f>IF(F34+SUM(E$17:E34)=D$10,F34,D$10-SUM(E$17:E34))</f>
        <v>1016015.4040404024</v>
      </c>
      <c r="E35" s="69">
        <f t="shared" si="5"/>
        <v>64169.393939393936</v>
      </c>
      <c r="F35" s="68">
        <f t="shared" si="6"/>
        <v>951846.01010100846</v>
      </c>
      <c r="G35" s="70">
        <f t="shared" si="7"/>
        <v>177084.07548309729</v>
      </c>
      <c r="H35" s="52">
        <f t="shared" si="8"/>
        <v>177084.07548309729</v>
      </c>
      <c r="I35" s="65">
        <f t="shared" si="1"/>
        <v>0</v>
      </c>
      <c r="J35" s="65"/>
      <c r="K35" s="130"/>
      <c r="L35" s="67">
        <f t="shared" si="9"/>
        <v>0</v>
      </c>
      <c r="M35" s="130"/>
      <c r="N35" s="67">
        <f t="shared" si="3"/>
        <v>0</v>
      </c>
      <c r="O35" s="67">
        <f t="shared" si="4"/>
        <v>0</v>
      </c>
      <c r="P35" s="4"/>
    </row>
    <row r="36" spans="2:16">
      <c r="B36" t="str">
        <f t="shared" si="0"/>
        <v/>
      </c>
      <c r="C36" s="62">
        <f>IF(D11="","-",+C35+1)</f>
        <v>2041</v>
      </c>
      <c r="D36" s="71">
        <f>IF(F35+SUM(E$17:E35)=D$10,F35,D$10-SUM(E$17:E35))</f>
        <v>951846.01010100846</v>
      </c>
      <c r="E36" s="69">
        <f t="shared" si="5"/>
        <v>64169.393939393936</v>
      </c>
      <c r="F36" s="68">
        <f t="shared" si="6"/>
        <v>887676.61616161454</v>
      </c>
      <c r="G36" s="70">
        <f t="shared" si="7"/>
        <v>169720.07451285576</v>
      </c>
      <c r="H36" s="52">
        <f t="shared" si="8"/>
        <v>169720.07451285576</v>
      </c>
      <c r="I36" s="65">
        <f t="shared" si="1"/>
        <v>0</v>
      </c>
      <c r="J36" s="65"/>
      <c r="K36" s="130"/>
      <c r="L36" s="67">
        <f t="shared" si="9"/>
        <v>0</v>
      </c>
      <c r="M36" s="130"/>
      <c r="N36" s="67">
        <f t="shared" si="3"/>
        <v>0</v>
      </c>
      <c r="O36" s="67">
        <f t="shared" si="4"/>
        <v>0</v>
      </c>
      <c r="P36" s="4"/>
    </row>
    <row r="37" spans="2:16">
      <c r="B37" t="str">
        <f t="shared" si="0"/>
        <v/>
      </c>
      <c r="C37" s="62">
        <f>IF(D11="","-",+C36+1)</f>
        <v>2042</v>
      </c>
      <c r="D37" s="71">
        <f>IF(F36+SUM(E$17:E36)=D$10,F36,D$10-SUM(E$17:E36))</f>
        <v>887676.61616161454</v>
      </c>
      <c r="E37" s="69">
        <f t="shared" si="5"/>
        <v>64169.393939393936</v>
      </c>
      <c r="F37" s="68">
        <f t="shared" si="6"/>
        <v>823507.22222222062</v>
      </c>
      <c r="G37" s="70">
        <f t="shared" si="7"/>
        <v>162356.07354261423</v>
      </c>
      <c r="H37" s="52">
        <f t="shared" si="8"/>
        <v>162356.07354261423</v>
      </c>
      <c r="I37" s="65">
        <f t="shared" si="1"/>
        <v>0</v>
      </c>
      <c r="J37" s="65"/>
      <c r="K37" s="130"/>
      <c r="L37" s="67">
        <f t="shared" si="9"/>
        <v>0</v>
      </c>
      <c r="M37" s="130"/>
      <c r="N37" s="67">
        <f t="shared" si="3"/>
        <v>0</v>
      </c>
      <c r="O37" s="67">
        <f t="shared" si="4"/>
        <v>0</v>
      </c>
      <c r="P37" s="4"/>
    </row>
    <row r="38" spans="2:16">
      <c r="B38" t="str">
        <f t="shared" si="0"/>
        <v/>
      </c>
      <c r="C38" s="62">
        <f>IF(D11="","-",+C37+1)</f>
        <v>2043</v>
      </c>
      <c r="D38" s="71">
        <f>IF(F37+SUM(E$17:E37)=D$10,F37,D$10-SUM(E$17:E37))</f>
        <v>823507.22222222062</v>
      </c>
      <c r="E38" s="69">
        <f t="shared" si="5"/>
        <v>64169.393939393936</v>
      </c>
      <c r="F38" s="68">
        <f t="shared" si="6"/>
        <v>759337.8282828267</v>
      </c>
      <c r="G38" s="70">
        <f t="shared" si="7"/>
        <v>154992.07257237268</v>
      </c>
      <c r="H38" s="52">
        <f t="shared" si="8"/>
        <v>154992.07257237268</v>
      </c>
      <c r="I38" s="65">
        <f t="shared" si="1"/>
        <v>0</v>
      </c>
      <c r="J38" s="65"/>
      <c r="K38" s="130"/>
      <c r="L38" s="67">
        <f t="shared" si="9"/>
        <v>0</v>
      </c>
      <c r="M38" s="130"/>
      <c r="N38" s="67">
        <f t="shared" si="3"/>
        <v>0</v>
      </c>
      <c r="O38" s="67">
        <f t="shared" si="4"/>
        <v>0</v>
      </c>
      <c r="P38" s="4"/>
    </row>
    <row r="39" spans="2:16">
      <c r="B39" t="str">
        <f t="shared" si="0"/>
        <v/>
      </c>
      <c r="C39" s="62">
        <f>IF(D11="","-",+C38+1)</f>
        <v>2044</v>
      </c>
      <c r="D39" s="71">
        <f>IF(F38+SUM(E$17:E38)=D$10,F38,D$10-SUM(E$17:E38))</f>
        <v>759337.8282828267</v>
      </c>
      <c r="E39" s="69">
        <f t="shared" si="5"/>
        <v>64169.393939393936</v>
      </c>
      <c r="F39" s="68">
        <f t="shared" si="6"/>
        <v>695168.43434343277</v>
      </c>
      <c r="G39" s="70">
        <f t="shared" si="7"/>
        <v>147628.07160213118</v>
      </c>
      <c r="H39" s="52">
        <f t="shared" si="8"/>
        <v>147628.07160213118</v>
      </c>
      <c r="I39" s="65">
        <f t="shared" si="1"/>
        <v>0</v>
      </c>
      <c r="J39" s="65"/>
      <c r="K39" s="130"/>
      <c r="L39" s="67">
        <f t="shared" si="9"/>
        <v>0</v>
      </c>
      <c r="M39" s="130"/>
      <c r="N39" s="67">
        <f t="shared" si="3"/>
        <v>0</v>
      </c>
      <c r="O39" s="67">
        <f t="shared" si="4"/>
        <v>0</v>
      </c>
      <c r="P39" s="4"/>
    </row>
    <row r="40" spans="2:16">
      <c r="B40" t="str">
        <f t="shared" si="0"/>
        <v/>
      </c>
      <c r="C40" s="62">
        <f>IF(D11="","-",+C39+1)</f>
        <v>2045</v>
      </c>
      <c r="D40" s="71">
        <f>IF(F39+SUM(E$17:E39)=D$10,F39,D$10-SUM(E$17:E39))</f>
        <v>695168.43434343277</v>
      </c>
      <c r="E40" s="69">
        <f t="shared" si="5"/>
        <v>64169.393939393936</v>
      </c>
      <c r="F40" s="68">
        <f t="shared" si="6"/>
        <v>630999.04040403885</v>
      </c>
      <c r="G40" s="70">
        <f t="shared" si="7"/>
        <v>140264.07063188963</v>
      </c>
      <c r="H40" s="52">
        <f t="shared" si="8"/>
        <v>140264.07063188963</v>
      </c>
      <c r="I40" s="65">
        <f t="shared" si="1"/>
        <v>0</v>
      </c>
      <c r="J40" s="65"/>
      <c r="K40" s="130"/>
      <c r="L40" s="67">
        <f t="shared" si="9"/>
        <v>0</v>
      </c>
      <c r="M40" s="130"/>
      <c r="N40" s="67">
        <f t="shared" si="3"/>
        <v>0</v>
      </c>
      <c r="O40" s="67">
        <f t="shared" si="4"/>
        <v>0</v>
      </c>
      <c r="P40" s="4"/>
    </row>
    <row r="41" spans="2:16">
      <c r="B41" t="str">
        <f t="shared" si="0"/>
        <v/>
      </c>
      <c r="C41" s="62">
        <f>IF(D11="","-",+C40+1)</f>
        <v>2046</v>
      </c>
      <c r="D41" s="71">
        <f>IF(F40+SUM(E$17:E40)=D$10,F40,D$10-SUM(E$17:E40))</f>
        <v>630999.04040403885</v>
      </c>
      <c r="E41" s="69">
        <f t="shared" si="5"/>
        <v>64169.393939393936</v>
      </c>
      <c r="F41" s="68">
        <f t="shared" si="6"/>
        <v>566829.64646464493</v>
      </c>
      <c r="G41" s="70">
        <f t="shared" si="7"/>
        <v>132900.0696616481</v>
      </c>
      <c r="H41" s="52">
        <f t="shared" si="8"/>
        <v>132900.0696616481</v>
      </c>
      <c r="I41" s="65">
        <f t="shared" si="1"/>
        <v>0</v>
      </c>
      <c r="J41" s="65"/>
      <c r="K41" s="130"/>
      <c r="L41" s="67">
        <f t="shared" si="9"/>
        <v>0</v>
      </c>
      <c r="M41" s="130"/>
      <c r="N41" s="67">
        <f t="shared" si="3"/>
        <v>0</v>
      </c>
      <c r="O41" s="67">
        <f t="shared" si="4"/>
        <v>0</v>
      </c>
      <c r="P41" s="4"/>
    </row>
    <row r="42" spans="2:16">
      <c r="B42" t="str">
        <f t="shared" si="0"/>
        <v/>
      </c>
      <c r="C42" s="62">
        <f>IF(D11="","-",+C41+1)</f>
        <v>2047</v>
      </c>
      <c r="D42" s="71">
        <f>IF(F41+SUM(E$17:E41)=D$10,F41,D$10-SUM(E$17:E41))</f>
        <v>566829.64646464493</v>
      </c>
      <c r="E42" s="69">
        <f t="shared" si="5"/>
        <v>64169.393939393936</v>
      </c>
      <c r="F42" s="68">
        <f t="shared" si="6"/>
        <v>502660.25252525101</v>
      </c>
      <c r="G42" s="70">
        <f t="shared" si="7"/>
        <v>125536.06869140656</v>
      </c>
      <c r="H42" s="52">
        <f t="shared" si="8"/>
        <v>125536.06869140656</v>
      </c>
      <c r="I42" s="65">
        <f t="shared" si="1"/>
        <v>0</v>
      </c>
      <c r="J42" s="65"/>
      <c r="K42" s="130"/>
      <c r="L42" s="67">
        <f t="shared" si="9"/>
        <v>0</v>
      </c>
      <c r="M42" s="130"/>
      <c r="N42" s="67">
        <f t="shared" si="3"/>
        <v>0</v>
      </c>
      <c r="O42" s="67">
        <f t="shared" si="4"/>
        <v>0</v>
      </c>
      <c r="P42" s="4"/>
    </row>
    <row r="43" spans="2:16">
      <c r="B43" t="str">
        <f t="shared" si="0"/>
        <v/>
      </c>
      <c r="C43" s="62">
        <f>IF(D11="","-",+C42+1)</f>
        <v>2048</v>
      </c>
      <c r="D43" s="71">
        <f>IF(F42+SUM(E$17:E42)=D$10,F42,D$10-SUM(E$17:E42))</f>
        <v>502660.25252525101</v>
      </c>
      <c r="E43" s="69">
        <f t="shared" si="5"/>
        <v>64169.393939393936</v>
      </c>
      <c r="F43" s="68">
        <f t="shared" si="6"/>
        <v>438490.85858585709</v>
      </c>
      <c r="G43" s="70">
        <f t="shared" si="7"/>
        <v>118172.06772116502</v>
      </c>
      <c r="H43" s="52">
        <f t="shared" si="8"/>
        <v>118172.06772116502</v>
      </c>
      <c r="I43" s="65">
        <f t="shared" si="1"/>
        <v>0</v>
      </c>
      <c r="J43" s="65"/>
      <c r="K43" s="130"/>
      <c r="L43" s="67">
        <f t="shared" si="9"/>
        <v>0</v>
      </c>
      <c r="M43" s="130"/>
      <c r="N43" s="67">
        <f t="shared" si="3"/>
        <v>0</v>
      </c>
      <c r="O43" s="67">
        <f t="shared" si="4"/>
        <v>0</v>
      </c>
      <c r="P43" s="4"/>
    </row>
    <row r="44" spans="2:16">
      <c r="B44" t="str">
        <f t="shared" si="0"/>
        <v/>
      </c>
      <c r="C44" s="62">
        <f>IF(D11="","-",+C43+1)</f>
        <v>2049</v>
      </c>
      <c r="D44" s="71">
        <f>IF(F43+SUM(E$17:E43)=D$10,F43,D$10-SUM(E$17:E43))</f>
        <v>438490.85858585709</v>
      </c>
      <c r="E44" s="69">
        <f t="shared" si="5"/>
        <v>64169.393939393936</v>
      </c>
      <c r="F44" s="68">
        <f t="shared" si="6"/>
        <v>374321.46464646317</v>
      </c>
      <c r="G44" s="70">
        <f t="shared" si="7"/>
        <v>110808.06675092349</v>
      </c>
      <c r="H44" s="52">
        <f t="shared" si="8"/>
        <v>110808.06675092349</v>
      </c>
      <c r="I44" s="65">
        <f t="shared" si="1"/>
        <v>0</v>
      </c>
      <c r="J44" s="65"/>
      <c r="K44" s="130"/>
      <c r="L44" s="67">
        <f t="shared" si="9"/>
        <v>0</v>
      </c>
      <c r="M44" s="130"/>
      <c r="N44" s="67">
        <f t="shared" si="3"/>
        <v>0</v>
      </c>
      <c r="O44" s="67">
        <f t="shared" si="4"/>
        <v>0</v>
      </c>
      <c r="P44" s="4"/>
    </row>
    <row r="45" spans="2:16">
      <c r="B45" t="str">
        <f t="shared" si="0"/>
        <v/>
      </c>
      <c r="C45" s="62">
        <f>IF(D11="","-",+C44+1)</f>
        <v>2050</v>
      </c>
      <c r="D45" s="71">
        <f>IF(F44+SUM(E$17:E44)=D$10,F44,D$10-SUM(E$17:E44))</f>
        <v>374321.46464646317</v>
      </c>
      <c r="E45" s="69">
        <f t="shared" si="5"/>
        <v>64169.393939393936</v>
      </c>
      <c r="F45" s="68">
        <f t="shared" si="6"/>
        <v>310152.07070706924</v>
      </c>
      <c r="G45" s="70">
        <f t="shared" si="7"/>
        <v>103444.06578068197</v>
      </c>
      <c r="H45" s="52">
        <f t="shared" si="8"/>
        <v>103444.06578068197</v>
      </c>
      <c r="I45" s="65">
        <f t="shared" si="1"/>
        <v>0</v>
      </c>
      <c r="J45" s="65"/>
      <c r="K45" s="130"/>
      <c r="L45" s="67">
        <f t="shared" si="9"/>
        <v>0</v>
      </c>
      <c r="M45" s="130"/>
      <c r="N45" s="67">
        <f t="shared" si="3"/>
        <v>0</v>
      </c>
      <c r="O45" s="67">
        <f t="shared" si="4"/>
        <v>0</v>
      </c>
      <c r="P45" s="4"/>
    </row>
    <row r="46" spans="2:16">
      <c r="B46" t="str">
        <f t="shared" si="0"/>
        <v/>
      </c>
      <c r="C46" s="62">
        <f>IF(D11="","-",+C45+1)</f>
        <v>2051</v>
      </c>
      <c r="D46" s="71">
        <f>IF(F45+SUM(E$17:E45)=D$10,F45,D$10-SUM(E$17:E45))</f>
        <v>310152.07070706924</v>
      </c>
      <c r="E46" s="69">
        <f t="shared" si="5"/>
        <v>64169.393939393936</v>
      </c>
      <c r="F46" s="68">
        <f t="shared" si="6"/>
        <v>245982.67676767532</v>
      </c>
      <c r="G46" s="70">
        <f t="shared" si="7"/>
        <v>96080.064810440424</v>
      </c>
      <c r="H46" s="52">
        <f t="shared" si="8"/>
        <v>96080.064810440424</v>
      </c>
      <c r="I46" s="65">
        <f t="shared" si="1"/>
        <v>0</v>
      </c>
      <c r="J46" s="65"/>
      <c r="K46" s="130"/>
      <c r="L46" s="67">
        <f t="shared" si="9"/>
        <v>0</v>
      </c>
      <c r="M46" s="130"/>
      <c r="N46" s="67">
        <f t="shared" si="3"/>
        <v>0</v>
      </c>
      <c r="O46" s="67">
        <f t="shared" si="4"/>
        <v>0</v>
      </c>
      <c r="P46" s="4"/>
    </row>
    <row r="47" spans="2:16">
      <c r="B47" t="str">
        <f t="shared" si="0"/>
        <v/>
      </c>
      <c r="C47" s="62">
        <f>IF(D11="","-",+C46+1)</f>
        <v>2052</v>
      </c>
      <c r="D47" s="71">
        <f>IF(F46+SUM(E$17:E46)=D$10,F46,D$10-SUM(E$17:E46))</f>
        <v>245982.67676767532</v>
      </c>
      <c r="E47" s="69">
        <f t="shared" si="5"/>
        <v>64169.393939393936</v>
      </c>
      <c r="F47" s="68">
        <f t="shared" si="6"/>
        <v>181813.2828282814</v>
      </c>
      <c r="G47" s="70">
        <f t="shared" si="7"/>
        <v>88716.063840198884</v>
      </c>
      <c r="H47" s="52">
        <f t="shared" si="8"/>
        <v>88716.063840198884</v>
      </c>
      <c r="I47" s="65">
        <f t="shared" si="1"/>
        <v>0</v>
      </c>
      <c r="J47" s="65"/>
      <c r="K47" s="130"/>
      <c r="L47" s="67">
        <f t="shared" si="9"/>
        <v>0</v>
      </c>
      <c r="M47" s="130"/>
      <c r="N47" s="67">
        <f t="shared" si="3"/>
        <v>0</v>
      </c>
      <c r="O47" s="67">
        <f t="shared" si="4"/>
        <v>0</v>
      </c>
      <c r="P47" s="4"/>
    </row>
    <row r="48" spans="2:16">
      <c r="B48" t="str">
        <f t="shared" si="0"/>
        <v/>
      </c>
      <c r="C48" s="62">
        <f>IF(D11="","-",+C47+1)</f>
        <v>2053</v>
      </c>
      <c r="D48" s="71">
        <f>IF(F47+SUM(E$17:E47)=D$10,F47,D$10-SUM(E$17:E47))</f>
        <v>181813.2828282814</v>
      </c>
      <c r="E48" s="69">
        <f t="shared" si="5"/>
        <v>64169.393939393936</v>
      </c>
      <c r="F48" s="68">
        <f t="shared" si="6"/>
        <v>117643.88888888746</v>
      </c>
      <c r="G48" s="70">
        <f t="shared" si="7"/>
        <v>81352.062869957357</v>
      </c>
      <c r="H48" s="52">
        <f t="shared" si="8"/>
        <v>81352.062869957357</v>
      </c>
      <c r="I48" s="65">
        <f t="shared" si="1"/>
        <v>0</v>
      </c>
      <c r="J48" s="65"/>
      <c r="K48" s="130"/>
      <c r="L48" s="67">
        <f t="shared" si="9"/>
        <v>0</v>
      </c>
      <c r="M48" s="130"/>
      <c r="N48" s="67">
        <f t="shared" si="3"/>
        <v>0</v>
      </c>
      <c r="O48" s="67">
        <f t="shared" si="4"/>
        <v>0</v>
      </c>
      <c r="P48" s="4"/>
    </row>
    <row r="49" spans="2:16">
      <c r="B49" t="str">
        <f t="shared" si="0"/>
        <v/>
      </c>
      <c r="C49" s="62">
        <f>IF(D11="","-",+C48+1)</f>
        <v>2054</v>
      </c>
      <c r="D49" s="71">
        <f>IF(F48+SUM(E$17:E48)=D$10,F48,D$10-SUM(E$17:E48))</f>
        <v>117643.88888888746</v>
      </c>
      <c r="E49" s="69">
        <f t="shared" si="5"/>
        <v>64169.393939393936</v>
      </c>
      <c r="F49" s="68">
        <f t="shared" si="6"/>
        <v>53474.494949493528</v>
      </c>
      <c r="G49" s="70">
        <f t="shared" si="7"/>
        <v>73988.061899715816</v>
      </c>
      <c r="H49" s="52">
        <f t="shared" si="8"/>
        <v>73988.061899715816</v>
      </c>
      <c r="I49" s="65">
        <f t="shared" si="1"/>
        <v>0</v>
      </c>
      <c r="J49" s="65"/>
      <c r="K49" s="130"/>
      <c r="L49" s="67">
        <f t="shared" si="9"/>
        <v>0</v>
      </c>
      <c r="M49" s="130"/>
      <c r="N49" s="67">
        <f t="shared" si="3"/>
        <v>0</v>
      </c>
      <c r="O49" s="67">
        <f t="shared" si="4"/>
        <v>0</v>
      </c>
      <c r="P49" s="4"/>
    </row>
    <row r="50" spans="2:16">
      <c r="B50" t="str">
        <f t="shared" si="0"/>
        <v/>
      </c>
      <c r="C50" s="62">
        <f>IF(D11="","-",+C49+1)</f>
        <v>2055</v>
      </c>
      <c r="D50" s="71">
        <f>IF(F49+SUM(E$17:E49)=D$10,F49,D$10-SUM(E$17:E49))</f>
        <v>53474.494949493528</v>
      </c>
      <c r="E50" s="69">
        <f t="shared" si="5"/>
        <v>53474.494949493528</v>
      </c>
      <c r="F50" s="68">
        <f t="shared" si="6"/>
        <v>0</v>
      </c>
      <c r="G50" s="70">
        <f t="shared" si="7"/>
        <v>56542.828687094086</v>
      </c>
      <c r="H50" s="52">
        <f t="shared" si="8"/>
        <v>56542.828687094086</v>
      </c>
      <c r="I50" s="65">
        <f t="shared" si="1"/>
        <v>0</v>
      </c>
      <c r="J50" s="65"/>
      <c r="K50" s="130"/>
      <c r="L50" s="67">
        <f t="shared" si="9"/>
        <v>0</v>
      </c>
      <c r="M50" s="130"/>
      <c r="N50" s="67">
        <f t="shared" si="3"/>
        <v>0</v>
      </c>
      <c r="O50" s="67">
        <f t="shared" si="4"/>
        <v>0</v>
      </c>
      <c r="P50" s="4"/>
    </row>
    <row r="51" spans="2:16">
      <c r="B51" t="str">
        <f t="shared" si="0"/>
        <v/>
      </c>
      <c r="C51" s="62">
        <f>IF(D11="","-",+C50+1)</f>
        <v>2056</v>
      </c>
      <c r="D51" s="71">
        <f>IF(F50+SUM(E$17:E50)=D$10,F50,D$10-SUM(E$17:E50))</f>
        <v>0</v>
      </c>
      <c r="E51" s="69">
        <f t="shared" si="5"/>
        <v>0</v>
      </c>
      <c r="F51" s="68">
        <f t="shared" si="6"/>
        <v>0</v>
      </c>
      <c r="G51" s="70">
        <f t="shared" si="7"/>
        <v>0</v>
      </c>
      <c r="H51" s="52">
        <f t="shared" si="8"/>
        <v>0</v>
      </c>
      <c r="I51" s="65">
        <f t="shared" si="1"/>
        <v>0</v>
      </c>
      <c r="J51" s="65"/>
      <c r="K51" s="130"/>
      <c r="L51" s="67">
        <f t="shared" si="9"/>
        <v>0</v>
      </c>
      <c r="M51" s="130"/>
      <c r="N51" s="67">
        <f t="shared" si="3"/>
        <v>0</v>
      </c>
      <c r="O51" s="67">
        <f t="shared" si="4"/>
        <v>0</v>
      </c>
      <c r="P51" s="4"/>
    </row>
    <row r="52" spans="2:16">
      <c r="B52" t="str">
        <f t="shared" si="0"/>
        <v/>
      </c>
      <c r="C52" s="62">
        <f>IF(D11="","-",+C51+1)</f>
        <v>2057</v>
      </c>
      <c r="D52" s="71">
        <f>IF(F51+SUM(E$17:E51)=D$10,F51,D$10-SUM(E$17:E51))</f>
        <v>0</v>
      </c>
      <c r="E52" s="69">
        <f t="shared" si="5"/>
        <v>0</v>
      </c>
      <c r="F52" s="68">
        <f t="shared" si="6"/>
        <v>0</v>
      </c>
      <c r="G52" s="70">
        <f t="shared" si="7"/>
        <v>0</v>
      </c>
      <c r="H52" s="52">
        <f t="shared" si="8"/>
        <v>0</v>
      </c>
      <c r="I52" s="65">
        <f t="shared" si="1"/>
        <v>0</v>
      </c>
      <c r="J52" s="65"/>
      <c r="K52" s="130"/>
      <c r="L52" s="67">
        <f t="shared" si="9"/>
        <v>0</v>
      </c>
      <c r="M52" s="130"/>
      <c r="N52" s="67">
        <f t="shared" si="3"/>
        <v>0</v>
      </c>
      <c r="O52" s="67">
        <f t="shared" si="4"/>
        <v>0</v>
      </c>
      <c r="P52" s="4"/>
    </row>
    <row r="53" spans="2:16">
      <c r="B53" t="str">
        <f t="shared" si="0"/>
        <v/>
      </c>
      <c r="C53" s="62">
        <f>IF(D11="","-",+C52+1)</f>
        <v>2058</v>
      </c>
      <c r="D53" s="71">
        <f>IF(F52+SUM(E$17:E52)=D$10,F52,D$10-SUM(E$17:E52))</f>
        <v>0</v>
      </c>
      <c r="E53" s="69">
        <f t="shared" si="5"/>
        <v>0</v>
      </c>
      <c r="F53" s="68">
        <f t="shared" si="6"/>
        <v>0</v>
      </c>
      <c r="G53" s="70">
        <f t="shared" si="7"/>
        <v>0</v>
      </c>
      <c r="H53" s="52">
        <f t="shared" si="8"/>
        <v>0</v>
      </c>
      <c r="I53" s="65">
        <f t="shared" si="1"/>
        <v>0</v>
      </c>
      <c r="J53" s="65"/>
      <c r="K53" s="130"/>
      <c r="L53" s="67">
        <f t="shared" si="9"/>
        <v>0</v>
      </c>
      <c r="M53" s="130"/>
      <c r="N53" s="67">
        <f t="shared" si="3"/>
        <v>0</v>
      </c>
      <c r="O53" s="67">
        <f t="shared" si="4"/>
        <v>0</v>
      </c>
      <c r="P53" s="4"/>
    </row>
    <row r="54" spans="2:16">
      <c r="B54" t="str">
        <f t="shared" si="0"/>
        <v/>
      </c>
      <c r="C54" s="62">
        <f>IF(D11="","-",+C53+1)</f>
        <v>2059</v>
      </c>
      <c r="D54" s="71">
        <f>IF(F53+SUM(E$17:E53)=D$10,F53,D$10-SUM(E$17:E53))</f>
        <v>0</v>
      </c>
      <c r="E54" s="69">
        <f t="shared" si="5"/>
        <v>0</v>
      </c>
      <c r="F54" s="68">
        <f t="shared" si="6"/>
        <v>0</v>
      </c>
      <c r="G54" s="70">
        <f t="shared" si="7"/>
        <v>0</v>
      </c>
      <c r="H54" s="52">
        <f t="shared" si="8"/>
        <v>0</v>
      </c>
      <c r="I54" s="65">
        <f t="shared" si="1"/>
        <v>0</v>
      </c>
      <c r="J54" s="65"/>
      <c r="K54" s="130"/>
      <c r="L54" s="67">
        <f t="shared" si="9"/>
        <v>0</v>
      </c>
      <c r="M54" s="130"/>
      <c r="N54" s="67">
        <f t="shared" si="3"/>
        <v>0</v>
      </c>
      <c r="O54" s="67">
        <f t="shared" si="4"/>
        <v>0</v>
      </c>
      <c r="P54" s="4"/>
    </row>
    <row r="55" spans="2:16">
      <c r="B55" t="str">
        <f t="shared" si="0"/>
        <v/>
      </c>
      <c r="C55" s="62">
        <f>IF(D11="","-",+C54+1)</f>
        <v>2060</v>
      </c>
      <c r="D55" s="71">
        <f>IF(F54+SUM(E$17:E54)=D$10,F54,D$10-SUM(E$17:E54))</f>
        <v>0</v>
      </c>
      <c r="E55" s="69">
        <f t="shared" si="5"/>
        <v>0</v>
      </c>
      <c r="F55" s="68">
        <f t="shared" si="6"/>
        <v>0</v>
      </c>
      <c r="G55" s="70">
        <f t="shared" si="7"/>
        <v>0</v>
      </c>
      <c r="H55" s="52">
        <f t="shared" si="8"/>
        <v>0</v>
      </c>
      <c r="I55" s="65">
        <f t="shared" si="1"/>
        <v>0</v>
      </c>
      <c r="J55" s="65"/>
      <c r="K55" s="130"/>
      <c r="L55" s="67">
        <f t="shared" si="9"/>
        <v>0</v>
      </c>
      <c r="M55" s="130"/>
      <c r="N55" s="67">
        <f t="shared" si="3"/>
        <v>0</v>
      </c>
      <c r="O55" s="67">
        <f t="shared" si="4"/>
        <v>0</v>
      </c>
      <c r="P55" s="4"/>
    </row>
    <row r="56" spans="2:16">
      <c r="B56" t="str">
        <f t="shared" si="0"/>
        <v/>
      </c>
      <c r="C56" s="62">
        <f>IF(D11="","-",+C55+1)</f>
        <v>2061</v>
      </c>
      <c r="D56" s="71">
        <f>IF(F55+SUM(E$17:E55)=D$10,F55,D$10-SUM(E$17:E55))</f>
        <v>0</v>
      </c>
      <c r="E56" s="69">
        <f t="shared" si="5"/>
        <v>0</v>
      </c>
      <c r="F56" s="68">
        <f t="shared" si="6"/>
        <v>0</v>
      </c>
      <c r="G56" s="70">
        <f t="shared" si="7"/>
        <v>0</v>
      </c>
      <c r="H56" s="52">
        <f t="shared" si="8"/>
        <v>0</v>
      </c>
      <c r="I56" s="65">
        <f t="shared" si="1"/>
        <v>0</v>
      </c>
      <c r="J56" s="65"/>
      <c r="K56" s="130"/>
      <c r="L56" s="67">
        <f t="shared" si="9"/>
        <v>0</v>
      </c>
      <c r="M56" s="130"/>
      <c r="N56" s="67">
        <f t="shared" si="3"/>
        <v>0</v>
      </c>
      <c r="O56" s="67">
        <f t="shared" si="4"/>
        <v>0</v>
      </c>
      <c r="P56" s="4"/>
    </row>
    <row r="57" spans="2:16">
      <c r="B57" t="str">
        <f t="shared" si="0"/>
        <v/>
      </c>
      <c r="C57" s="62">
        <f>IF(D11="","-",+C56+1)</f>
        <v>2062</v>
      </c>
      <c r="D57" s="71">
        <f>IF(F56+SUM(E$17:E56)=D$10,F56,D$10-SUM(E$17:E56))</f>
        <v>0</v>
      </c>
      <c r="E57" s="69">
        <f t="shared" si="5"/>
        <v>0</v>
      </c>
      <c r="F57" s="68">
        <f t="shared" si="6"/>
        <v>0</v>
      </c>
      <c r="G57" s="70">
        <f t="shared" si="7"/>
        <v>0</v>
      </c>
      <c r="H57" s="52">
        <f t="shared" si="8"/>
        <v>0</v>
      </c>
      <c r="I57" s="65">
        <f t="shared" si="1"/>
        <v>0</v>
      </c>
      <c r="J57" s="65"/>
      <c r="K57" s="130"/>
      <c r="L57" s="67">
        <f t="shared" si="9"/>
        <v>0</v>
      </c>
      <c r="M57" s="130"/>
      <c r="N57" s="67">
        <f t="shared" si="3"/>
        <v>0</v>
      </c>
      <c r="O57" s="67">
        <f t="shared" si="4"/>
        <v>0</v>
      </c>
      <c r="P57" s="4"/>
    </row>
    <row r="58" spans="2:16">
      <c r="B58" t="str">
        <f t="shared" si="0"/>
        <v/>
      </c>
      <c r="C58" s="62">
        <f>IF(D11="","-",+C57+1)</f>
        <v>2063</v>
      </c>
      <c r="D58" s="71">
        <f>IF(F57+SUM(E$17:E57)=D$10,F57,D$10-SUM(E$17:E57))</f>
        <v>0</v>
      </c>
      <c r="E58" s="69">
        <f t="shared" si="5"/>
        <v>0</v>
      </c>
      <c r="F58" s="68">
        <f t="shared" si="6"/>
        <v>0</v>
      </c>
      <c r="G58" s="70">
        <f t="shared" si="7"/>
        <v>0</v>
      </c>
      <c r="H58" s="52">
        <f t="shared" si="8"/>
        <v>0</v>
      </c>
      <c r="I58" s="65">
        <f t="shared" si="1"/>
        <v>0</v>
      </c>
      <c r="J58" s="65"/>
      <c r="K58" s="130"/>
      <c r="L58" s="67">
        <f t="shared" si="9"/>
        <v>0</v>
      </c>
      <c r="M58" s="130"/>
      <c r="N58" s="67">
        <f t="shared" si="3"/>
        <v>0</v>
      </c>
      <c r="O58" s="67">
        <f t="shared" si="4"/>
        <v>0</v>
      </c>
      <c r="P58" s="4"/>
    </row>
    <row r="59" spans="2:16">
      <c r="B59" t="str">
        <f t="shared" si="0"/>
        <v/>
      </c>
      <c r="C59" s="62">
        <f>IF(D11="","-",+C58+1)</f>
        <v>2064</v>
      </c>
      <c r="D59" s="71">
        <f>IF(F58+SUM(E$17:E58)=D$10,F58,D$10-SUM(E$17:E58))</f>
        <v>0</v>
      </c>
      <c r="E59" s="69">
        <f t="shared" si="5"/>
        <v>0</v>
      </c>
      <c r="F59" s="68">
        <f t="shared" si="6"/>
        <v>0</v>
      </c>
      <c r="G59" s="70">
        <f t="shared" si="7"/>
        <v>0</v>
      </c>
      <c r="H59" s="52">
        <f t="shared" si="8"/>
        <v>0</v>
      </c>
      <c r="I59" s="65">
        <f t="shared" si="1"/>
        <v>0</v>
      </c>
      <c r="J59" s="65"/>
      <c r="K59" s="130"/>
      <c r="L59" s="67">
        <f t="shared" si="9"/>
        <v>0</v>
      </c>
      <c r="M59" s="130"/>
      <c r="N59" s="67">
        <f t="shared" si="3"/>
        <v>0</v>
      </c>
      <c r="O59" s="67">
        <f t="shared" si="4"/>
        <v>0</v>
      </c>
      <c r="P59" s="4"/>
    </row>
    <row r="60" spans="2:16">
      <c r="B60" t="str">
        <f t="shared" si="0"/>
        <v/>
      </c>
      <c r="C60" s="62">
        <f>IF(D11="","-",+C59+1)</f>
        <v>2065</v>
      </c>
      <c r="D60" s="71">
        <f>IF(F59+SUM(E$17:E59)=D$10,F59,D$10-SUM(E$17:E59))</f>
        <v>0</v>
      </c>
      <c r="E60" s="69">
        <f t="shared" si="5"/>
        <v>0</v>
      </c>
      <c r="F60" s="68">
        <f t="shared" si="6"/>
        <v>0</v>
      </c>
      <c r="G60" s="70">
        <f t="shared" si="7"/>
        <v>0</v>
      </c>
      <c r="H60" s="52">
        <f t="shared" si="8"/>
        <v>0</v>
      </c>
      <c r="I60" s="65">
        <f t="shared" si="1"/>
        <v>0</v>
      </c>
      <c r="J60" s="65"/>
      <c r="K60" s="130"/>
      <c r="L60" s="67">
        <f t="shared" si="9"/>
        <v>0</v>
      </c>
      <c r="M60" s="130"/>
      <c r="N60" s="67">
        <f t="shared" si="3"/>
        <v>0</v>
      </c>
      <c r="O60" s="67">
        <f t="shared" si="4"/>
        <v>0</v>
      </c>
      <c r="P60" s="4"/>
    </row>
    <row r="61" spans="2:16">
      <c r="B61" t="str">
        <f t="shared" si="0"/>
        <v/>
      </c>
      <c r="C61" s="62">
        <f>IF(D11="","-",+C60+1)</f>
        <v>2066</v>
      </c>
      <c r="D61" s="71">
        <f>IF(F60+SUM(E$17:E60)=D$10,F60,D$10-SUM(E$17:E60))</f>
        <v>0</v>
      </c>
      <c r="E61" s="69">
        <f t="shared" si="5"/>
        <v>0</v>
      </c>
      <c r="F61" s="68">
        <f t="shared" si="6"/>
        <v>0</v>
      </c>
      <c r="G61" s="72">
        <f t="shared" si="7"/>
        <v>0</v>
      </c>
      <c r="H61" s="52">
        <f t="shared" si="8"/>
        <v>0</v>
      </c>
      <c r="I61" s="65">
        <f t="shared" si="1"/>
        <v>0</v>
      </c>
      <c r="J61" s="65"/>
      <c r="K61" s="130"/>
      <c r="L61" s="67">
        <f t="shared" si="9"/>
        <v>0</v>
      </c>
      <c r="M61" s="130"/>
      <c r="N61" s="67">
        <f t="shared" si="3"/>
        <v>0</v>
      </c>
      <c r="O61" s="67">
        <f t="shared" si="4"/>
        <v>0</v>
      </c>
      <c r="P61" s="4"/>
    </row>
    <row r="62" spans="2:16">
      <c r="B62" t="str">
        <f t="shared" si="0"/>
        <v/>
      </c>
      <c r="C62" s="62">
        <f>IF(D11="","-",+C61+1)</f>
        <v>2067</v>
      </c>
      <c r="D62" s="71">
        <f>IF(F61+SUM(E$17:E61)=D$10,F61,D$10-SUM(E$17:E61))</f>
        <v>0</v>
      </c>
      <c r="E62" s="69">
        <f t="shared" si="5"/>
        <v>0</v>
      </c>
      <c r="F62" s="68">
        <f t="shared" si="6"/>
        <v>0</v>
      </c>
      <c r="G62" s="72">
        <f t="shared" si="7"/>
        <v>0</v>
      </c>
      <c r="H62" s="52">
        <f t="shared" si="8"/>
        <v>0</v>
      </c>
      <c r="I62" s="65">
        <f t="shared" si="1"/>
        <v>0</v>
      </c>
      <c r="J62" s="65"/>
      <c r="K62" s="130"/>
      <c r="L62" s="67">
        <f t="shared" si="9"/>
        <v>0</v>
      </c>
      <c r="M62" s="130"/>
      <c r="N62" s="67">
        <f t="shared" si="3"/>
        <v>0</v>
      </c>
      <c r="O62" s="67">
        <f t="shared" si="4"/>
        <v>0</v>
      </c>
      <c r="P62" s="4"/>
    </row>
    <row r="63" spans="2:16">
      <c r="B63" t="str">
        <f t="shared" si="0"/>
        <v/>
      </c>
      <c r="C63" s="62">
        <f>IF(D11="","-",+C62+1)</f>
        <v>2068</v>
      </c>
      <c r="D63" s="71">
        <f>IF(F62+SUM(E$17:E62)=D$10,F62,D$10-SUM(E$17:E62))</f>
        <v>0</v>
      </c>
      <c r="E63" s="69">
        <f t="shared" si="5"/>
        <v>0</v>
      </c>
      <c r="F63" s="68">
        <f t="shared" si="6"/>
        <v>0</v>
      </c>
      <c r="G63" s="72">
        <f t="shared" si="7"/>
        <v>0</v>
      </c>
      <c r="H63" s="52">
        <f t="shared" si="8"/>
        <v>0</v>
      </c>
      <c r="I63" s="65">
        <f t="shared" si="1"/>
        <v>0</v>
      </c>
      <c r="J63" s="65"/>
      <c r="K63" s="130"/>
      <c r="L63" s="67">
        <f t="shared" si="9"/>
        <v>0</v>
      </c>
      <c r="M63" s="130"/>
      <c r="N63" s="67">
        <f t="shared" si="3"/>
        <v>0</v>
      </c>
      <c r="O63" s="67">
        <f t="shared" si="4"/>
        <v>0</v>
      </c>
      <c r="P63" s="4"/>
    </row>
    <row r="64" spans="2:16">
      <c r="B64" t="str">
        <f t="shared" si="0"/>
        <v/>
      </c>
      <c r="C64" s="62">
        <f>IF(D11="","-",+C63+1)</f>
        <v>2069</v>
      </c>
      <c r="D64" s="71">
        <f>IF(F63+SUM(E$17:E63)=D$10,F63,D$10-SUM(E$17:E63))</f>
        <v>0</v>
      </c>
      <c r="E64" s="69">
        <f t="shared" si="5"/>
        <v>0</v>
      </c>
      <c r="F64" s="68">
        <f t="shared" si="6"/>
        <v>0</v>
      </c>
      <c r="G64" s="72">
        <f t="shared" si="7"/>
        <v>0</v>
      </c>
      <c r="H64" s="52">
        <f t="shared" si="8"/>
        <v>0</v>
      </c>
      <c r="I64" s="65">
        <f t="shared" si="1"/>
        <v>0</v>
      </c>
      <c r="J64" s="65"/>
      <c r="K64" s="130"/>
      <c r="L64" s="67">
        <f t="shared" si="9"/>
        <v>0</v>
      </c>
      <c r="M64" s="130"/>
      <c r="N64" s="67">
        <f t="shared" si="3"/>
        <v>0</v>
      </c>
      <c r="O64" s="67">
        <f t="shared" si="4"/>
        <v>0</v>
      </c>
      <c r="P64" s="4"/>
    </row>
    <row r="65" spans="2:16">
      <c r="B65" t="str">
        <f t="shared" si="0"/>
        <v/>
      </c>
      <c r="C65" s="62">
        <f>IF(D11="","-",+C64+1)</f>
        <v>2070</v>
      </c>
      <c r="D65" s="71">
        <f>IF(F64+SUM(E$17:E64)=D$10,F64,D$10-SUM(E$17:E64))</f>
        <v>0</v>
      </c>
      <c r="E65" s="69">
        <f t="shared" si="5"/>
        <v>0</v>
      </c>
      <c r="F65" s="68">
        <f t="shared" si="6"/>
        <v>0</v>
      </c>
      <c r="G65" s="72">
        <f t="shared" si="7"/>
        <v>0</v>
      </c>
      <c r="H65" s="52">
        <f t="shared" si="8"/>
        <v>0</v>
      </c>
      <c r="I65" s="65">
        <f t="shared" si="1"/>
        <v>0</v>
      </c>
      <c r="J65" s="65"/>
      <c r="K65" s="130"/>
      <c r="L65" s="67">
        <f t="shared" si="9"/>
        <v>0</v>
      </c>
      <c r="M65" s="130"/>
      <c r="N65" s="67">
        <f t="shared" si="3"/>
        <v>0</v>
      </c>
      <c r="O65" s="67">
        <f t="shared" si="4"/>
        <v>0</v>
      </c>
      <c r="P65" s="4"/>
    </row>
    <row r="66" spans="2:16">
      <c r="B66" t="str">
        <f t="shared" si="0"/>
        <v/>
      </c>
      <c r="C66" s="62">
        <f>IF(D11="","-",+C65+1)</f>
        <v>2071</v>
      </c>
      <c r="D66" s="71">
        <f>IF(F65+SUM(E$17:E65)=D$10,F65,D$10-SUM(E$17:E65))</f>
        <v>0</v>
      </c>
      <c r="E66" s="69">
        <f t="shared" si="5"/>
        <v>0</v>
      </c>
      <c r="F66" s="68">
        <f t="shared" si="6"/>
        <v>0</v>
      </c>
      <c r="G66" s="72">
        <f t="shared" si="7"/>
        <v>0</v>
      </c>
      <c r="H66" s="52">
        <f t="shared" si="8"/>
        <v>0</v>
      </c>
      <c r="I66" s="65">
        <f t="shared" si="1"/>
        <v>0</v>
      </c>
      <c r="J66" s="65"/>
      <c r="K66" s="130"/>
      <c r="L66" s="67">
        <f t="shared" si="9"/>
        <v>0</v>
      </c>
      <c r="M66" s="130"/>
      <c r="N66" s="67">
        <f t="shared" si="3"/>
        <v>0</v>
      </c>
      <c r="O66" s="67">
        <f t="shared" si="4"/>
        <v>0</v>
      </c>
      <c r="P66" s="4"/>
    </row>
    <row r="67" spans="2:16">
      <c r="B67" t="str">
        <f t="shared" si="0"/>
        <v/>
      </c>
      <c r="C67" s="62">
        <f>IF(D11="","-",+C66+1)</f>
        <v>2072</v>
      </c>
      <c r="D67" s="71">
        <f>IF(F66+SUM(E$17:E66)=D$10,F66,D$10-SUM(E$17:E66))</f>
        <v>0</v>
      </c>
      <c r="E67" s="69">
        <f t="shared" si="5"/>
        <v>0</v>
      </c>
      <c r="F67" s="68">
        <f t="shared" si="6"/>
        <v>0</v>
      </c>
      <c r="G67" s="72">
        <f t="shared" si="7"/>
        <v>0</v>
      </c>
      <c r="H67" s="52">
        <f t="shared" si="8"/>
        <v>0</v>
      </c>
      <c r="I67" s="65">
        <f t="shared" si="1"/>
        <v>0</v>
      </c>
      <c r="J67" s="65"/>
      <c r="K67" s="130"/>
      <c r="L67" s="67">
        <f t="shared" si="9"/>
        <v>0</v>
      </c>
      <c r="M67" s="130"/>
      <c r="N67" s="67">
        <f t="shared" si="3"/>
        <v>0</v>
      </c>
      <c r="O67" s="67">
        <f t="shared" si="4"/>
        <v>0</v>
      </c>
      <c r="P67" s="4"/>
    </row>
    <row r="68" spans="2:16">
      <c r="B68" t="str">
        <f t="shared" si="0"/>
        <v/>
      </c>
      <c r="C68" s="62">
        <f>IF(D11="","-",+C67+1)</f>
        <v>2073</v>
      </c>
      <c r="D68" s="71">
        <f>IF(F67+SUM(E$17:E67)=D$10,F67,D$10-SUM(E$17:E67))</f>
        <v>0</v>
      </c>
      <c r="E68" s="69">
        <f t="shared" si="5"/>
        <v>0</v>
      </c>
      <c r="F68" s="68">
        <f t="shared" si="6"/>
        <v>0</v>
      </c>
      <c r="G68" s="72">
        <f t="shared" si="7"/>
        <v>0</v>
      </c>
      <c r="H68" s="52">
        <f t="shared" si="8"/>
        <v>0</v>
      </c>
      <c r="I68" s="65">
        <f t="shared" si="1"/>
        <v>0</v>
      </c>
      <c r="J68" s="65"/>
      <c r="K68" s="130"/>
      <c r="L68" s="67">
        <f t="shared" si="9"/>
        <v>0</v>
      </c>
      <c r="M68" s="130"/>
      <c r="N68" s="67">
        <f t="shared" si="3"/>
        <v>0</v>
      </c>
      <c r="O68" s="67">
        <f t="shared" si="4"/>
        <v>0</v>
      </c>
      <c r="P68" s="4"/>
    </row>
    <row r="69" spans="2:16">
      <c r="B69" t="str">
        <f t="shared" si="0"/>
        <v/>
      </c>
      <c r="C69" s="62">
        <f>IF(D11="","-",+C68+1)</f>
        <v>2074</v>
      </c>
      <c r="D69" s="71">
        <f>IF(F68+SUM(E$17:E68)=D$10,F68,D$10-SUM(E$17:E68))</f>
        <v>0</v>
      </c>
      <c r="E69" s="69">
        <f t="shared" si="5"/>
        <v>0</v>
      </c>
      <c r="F69" s="68">
        <f t="shared" si="6"/>
        <v>0</v>
      </c>
      <c r="G69" s="72">
        <f t="shared" si="7"/>
        <v>0</v>
      </c>
      <c r="H69" s="52">
        <f t="shared" si="8"/>
        <v>0</v>
      </c>
      <c r="I69" s="65">
        <f t="shared" si="1"/>
        <v>0</v>
      </c>
      <c r="J69" s="65"/>
      <c r="K69" s="130"/>
      <c r="L69" s="67">
        <f t="shared" si="9"/>
        <v>0</v>
      </c>
      <c r="M69" s="130"/>
      <c r="N69" s="67">
        <f t="shared" si="3"/>
        <v>0</v>
      </c>
      <c r="O69" s="67">
        <f t="shared" si="4"/>
        <v>0</v>
      </c>
      <c r="P69" s="4"/>
    </row>
    <row r="70" spans="2:16">
      <c r="B70" t="str">
        <f t="shared" si="0"/>
        <v/>
      </c>
      <c r="C70" s="62">
        <f>IF(D11="","-",+C69+1)</f>
        <v>2075</v>
      </c>
      <c r="D70" s="71">
        <f>IF(F69+SUM(E$17:E69)=D$10,F69,D$10-SUM(E$17:E69))</f>
        <v>0</v>
      </c>
      <c r="E70" s="69">
        <f t="shared" si="5"/>
        <v>0</v>
      </c>
      <c r="F70" s="68">
        <f t="shared" si="6"/>
        <v>0</v>
      </c>
      <c r="G70" s="72">
        <f t="shared" si="7"/>
        <v>0</v>
      </c>
      <c r="H70" s="52">
        <f t="shared" si="8"/>
        <v>0</v>
      </c>
      <c r="I70" s="65">
        <f t="shared" si="1"/>
        <v>0</v>
      </c>
      <c r="J70" s="65"/>
      <c r="K70" s="130"/>
      <c r="L70" s="67">
        <f t="shared" si="9"/>
        <v>0</v>
      </c>
      <c r="M70" s="130"/>
      <c r="N70" s="67">
        <f t="shared" si="3"/>
        <v>0</v>
      </c>
      <c r="O70" s="67">
        <f t="shared" si="4"/>
        <v>0</v>
      </c>
      <c r="P70" s="4"/>
    </row>
    <row r="71" spans="2:16">
      <c r="B71" t="str">
        <f t="shared" si="0"/>
        <v/>
      </c>
      <c r="C71" s="62">
        <f>IF(D11="","-",+C70+1)</f>
        <v>2076</v>
      </c>
      <c r="D71" s="71">
        <f>IF(F70+SUM(E$17:E70)=D$10,F70,D$10-SUM(E$17:E70))</f>
        <v>0</v>
      </c>
      <c r="E71" s="69">
        <f t="shared" si="5"/>
        <v>0</v>
      </c>
      <c r="F71" s="68">
        <f t="shared" si="6"/>
        <v>0</v>
      </c>
      <c r="G71" s="72">
        <f t="shared" si="7"/>
        <v>0</v>
      </c>
      <c r="H71" s="52">
        <f t="shared" si="8"/>
        <v>0</v>
      </c>
      <c r="I71" s="65">
        <f t="shared" si="1"/>
        <v>0</v>
      </c>
      <c r="J71" s="65"/>
      <c r="K71" s="130"/>
      <c r="L71" s="67">
        <f t="shared" si="9"/>
        <v>0</v>
      </c>
      <c r="M71" s="130"/>
      <c r="N71" s="67">
        <f t="shared" si="3"/>
        <v>0</v>
      </c>
      <c r="O71" s="67">
        <f t="shared" si="4"/>
        <v>0</v>
      </c>
      <c r="P71" s="4"/>
    </row>
    <row r="72" spans="2:16">
      <c r="C72" s="62">
        <f>IF(D12="","-",+C71+1)</f>
        <v>2077</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5" thickBot="1">
      <c r="B73" t="str">
        <f>IF(D73=F71,"","IU")</f>
        <v/>
      </c>
      <c r="C73" s="73">
        <f>IF(D13="","-",+C72+1)</f>
        <v>2078</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c r="C74" s="63" t="s">
        <v>75</v>
      </c>
      <c r="D74" s="19"/>
      <c r="E74" s="19">
        <f>SUM(E17:E73)</f>
        <v>2117590</v>
      </c>
      <c r="F74" s="19"/>
      <c r="G74" s="19">
        <f>SUM(G17:G73)</f>
        <v>6208292.5389691684</v>
      </c>
      <c r="H74" s="19">
        <f>SUM(H17:H73)</f>
        <v>6208292.5389691684</v>
      </c>
      <c r="I74" s="19">
        <f>SUM(I17:I73)</f>
        <v>0</v>
      </c>
      <c r="J74" s="19"/>
      <c r="K74" s="19"/>
      <c r="L74" s="19"/>
      <c r="M74" s="19"/>
      <c r="N74" s="19"/>
      <c r="O74" s="4"/>
      <c r="P74" s="4"/>
    </row>
    <row r="75" spans="2:16">
      <c r="D75" s="2"/>
      <c r="E75" s="1"/>
      <c r="F75" s="1"/>
      <c r="G75" s="1"/>
      <c r="H75" s="3"/>
      <c r="I75" s="3"/>
      <c r="J75" s="19"/>
      <c r="K75" s="3"/>
      <c r="L75" s="3"/>
      <c r="M75" s="3"/>
      <c r="N75" s="3"/>
      <c r="O75" s="1"/>
      <c r="P75" s="1"/>
    </row>
    <row r="76" spans="2:16">
      <c r="C76" s="79" t="s">
        <v>95</v>
      </c>
      <c r="D76" s="2"/>
      <c r="E76" s="1"/>
      <c r="F76" s="1"/>
      <c r="G76" s="1"/>
      <c r="H76" s="3"/>
      <c r="I76" s="3"/>
      <c r="J76" s="19"/>
      <c r="K76" s="3"/>
      <c r="L76" s="3"/>
      <c r="M76" s="3"/>
      <c r="N76" s="3"/>
      <c r="O76" s="1"/>
      <c r="P76" s="1"/>
    </row>
    <row r="77" spans="2:16">
      <c r="C77" s="31" t="s">
        <v>76</v>
      </c>
      <c r="D77" s="2"/>
      <c r="E77" s="1"/>
      <c r="F77" s="1"/>
      <c r="G77" s="1"/>
      <c r="H77" s="3"/>
      <c r="I77" s="3"/>
      <c r="J77" s="19"/>
      <c r="K77" s="3"/>
      <c r="L77" s="3"/>
      <c r="M77" s="3"/>
      <c r="N77" s="3"/>
      <c r="O77" s="4"/>
      <c r="P77" s="4"/>
    </row>
    <row r="78" spans="2:16">
      <c r="C78" s="31" t="s">
        <v>77</v>
      </c>
      <c r="D78" s="63"/>
      <c r="E78" s="63"/>
      <c r="F78" s="63"/>
      <c r="G78" s="19"/>
      <c r="H78" s="19"/>
      <c r="I78" s="80"/>
      <c r="J78" s="80"/>
      <c r="K78" s="80"/>
      <c r="L78" s="80"/>
      <c r="M78" s="80"/>
      <c r="N78" s="80"/>
      <c r="O78" s="4"/>
      <c r="P78" s="4"/>
    </row>
    <row r="79" spans="2:16">
      <c r="C79" s="31"/>
      <c r="D79" s="63"/>
      <c r="E79" s="63"/>
      <c r="F79" s="63"/>
      <c r="G79" s="19"/>
      <c r="H79" s="19"/>
      <c r="I79" s="80"/>
      <c r="J79" s="80"/>
      <c r="K79" s="80"/>
      <c r="L79" s="80"/>
      <c r="M79" s="80"/>
      <c r="N79" s="80"/>
      <c r="O79" s="4"/>
      <c r="P79" s="1"/>
    </row>
    <row r="80" spans="2:16">
      <c r="B80" s="1"/>
      <c r="C80" s="9"/>
      <c r="D80" s="2"/>
      <c r="E80" s="1"/>
      <c r="F80" s="17"/>
      <c r="G80" s="1"/>
      <c r="H80" s="3"/>
      <c r="I80" s="1"/>
      <c r="J80" s="4"/>
      <c r="K80" s="1"/>
      <c r="L80" s="1"/>
      <c r="M80" s="1"/>
      <c r="N80" s="1"/>
      <c r="O80" s="1"/>
      <c r="P80" s="1"/>
    </row>
    <row r="81" spans="1:16" ht="18">
      <c r="B81" s="1"/>
      <c r="C81" s="109"/>
      <c r="D81" s="2"/>
      <c r="E81" s="1"/>
      <c r="F81" s="17"/>
      <c r="G81" s="1"/>
      <c r="H81" s="3"/>
      <c r="I81" s="1"/>
      <c r="J81" s="4"/>
      <c r="K81" s="1"/>
      <c r="L81" s="1"/>
      <c r="M81" s="1"/>
      <c r="N81" s="1"/>
      <c r="P81" s="111" t="s">
        <v>128</v>
      </c>
    </row>
    <row r="82" spans="1:16">
      <c r="B82" s="1"/>
      <c r="C82" s="9"/>
      <c r="D82" s="2"/>
      <c r="E82" s="1"/>
      <c r="F82" s="17"/>
      <c r="G82" s="1"/>
      <c r="H82" s="3"/>
      <c r="I82" s="1"/>
      <c r="J82" s="4"/>
      <c r="K82" s="1"/>
      <c r="L82" s="1"/>
      <c r="M82" s="1"/>
      <c r="N82" s="1"/>
      <c r="O82" s="1"/>
      <c r="P82" s="1"/>
    </row>
    <row r="83" spans="1:16">
      <c r="B83" s="1"/>
      <c r="C83" s="9"/>
      <c r="D83" s="2"/>
      <c r="E83" s="1"/>
      <c r="F83" s="17"/>
      <c r="G83" s="1"/>
      <c r="H83" s="3"/>
      <c r="I83" s="1"/>
      <c r="J83" s="4"/>
      <c r="K83" s="1"/>
      <c r="L83" s="1"/>
      <c r="M83" s="1"/>
      <c r="N83" s="1"/>
      <c r="O83" s="1"/>
      <c r="P83" s="1"/>
    </row>
    <row r="84" spans="1:16" ht="20.25">
      <c r="A84" s="110" t="s">
        <v>190</v>
      </c>
      <c r="B84" s="1"/>
      <c r="C84" s="9"/>
      <c r="D84" s="2"/>
      <c r="E84" s="1"/>
      <c r="F84" s="14"/>
      <c r="G84" s="14"/>
      <c r="H84" s="1"/>
      <c r="I84" s="3"/>
      <c r="K84" s="7"/>
      <c r="L84" s="18"/>
      <c r="M84" s="18"/>
      <c r="P84" s="18" t="str">
        <f ca="1">P1</f>
        <v>OKT Project 21 of 23</v>
      </c>
    </row>
    <row r="85" spans="1:16" ht="18">
      <c r="B85" s="1"/>
      <c r="C85" s="1"/>
      <c r="D85" s="2"/>
      <c r="E85" s="1"/>
      <c r="F85" s="1"/>
      <c r="G85" s="1"/>
      <c r="H85" s="1"/>
      <c r="I85" s="3"/>
      <c r="J85" s="1"/>
      <c r="K85" s="4"/>
      <c r="L85" s="1"/>
      <c r="M85" s="1"/>
      <c r="P85" s="117" t="s">
        <v>132</v>
      </c>
    </row>
    <row r="86" spans="1:16" ht="18.75" thickBot="1">
      <c r="B86" s="5" t="s">
        <v>42</v>
      </c>
      <c r="C86" s="82" t="s">
        <v>81</v>
      </c>
      <c r="D86" s="2"/>
      <c r="E86" s="1"/>
      <c r="F86" s="1"/>
      <c r="G86" s="1"/>
      <c r="H86" s="1"/>
      <c r="I86" s="3"/>
      <c r="J86" s="3"/>
      <c r="K86" s="19"/>
      <c r="L86" s="3"/>
      <c r="M86" s="3"/>
      <c r="N86" s="3"/>
      <c r="O86" s="19"/>
      <c r="P86" s="1"/>
    </row>
    <row r="87" spans="1:16" ht="15.75" thickBot="1">
      <c r="C87" s="12"/>
      <c r="D87" s="2"/>
      <c r="E87" s="1"/>
      <c r="F87" s="1"/>
      <c r="G87" s="1"/>
      <c r="H87" s="1"/>
      <c r="I87" s="3"/>
      <c r="J87" s="3"/>
      <c r="K87" s="19"/>
      <c r="L87" s="118">
        <f>+J93</f>
        <v>2020</v>
      </c>
      <c r="M87" s="119" t="s">
        <v>9</v>
      </c>
      <c r="N87" s="120" t="s">
        <v>134</v>
      </c>
      <c r="O87" s="121" t="s">
        <v>11</v>
      </c>
      <c r="P87" s="1"/>
    </row>
    <row r="88" spans="1:16" ht="1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7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Tulsa SE - S Hudson 138 kV</v>
      </c>
      <c r="E90" s="1"/>
      <c r="F90" s="1"/>
      <c r="G90" s="1"/>
      <c r="H90" s="1"/>
      <c r="I90" s="3"/>
      <c r="J90" s="3"/>
      <c r="K90" s="126"/>
      <c r="L90" s="127" t="s">
        <v>135</v>
      </c>
      <c r="M90" s="88">
        <f>+M89-M88</f>
        <v>0</v>
      </c>
      <c r="N90" s="88">
        <f>+N89-N88</f>
        <v>0</v>
      </c>
      <c r="O90" s="89">
        <f>+O89-O88</f>
        <v>0</v>
      </c>
      <c r="P90" s="1"/>
    </row>
    <row r="91" spans="1:16" ht="13.5" thickBot="1">
      <c r="C91" s="79"/>
      <c r="D91" s="81" t="str">
        <f>IF(D8="","",D8)</f>
        <v/>
      </c>
      <c r="E91" s="17"/>
      <c r="F91" s="17"/>
      <c r="G91" s="17"/>
      <c r="H91" s="36"/>
      <c r="I91" s="3"/>
      <c r="J91" s="3"/>
      <c r="K91" s="19"/>
      <c r="L91" s="3"/>
      <c r="M91" s="3"/>
      <c r="N91" s="3"/>
      <c r="O91" s="19"/>
      <c r="P91" s="1"/>
    </row>
    <row r="92" spans="1:16" ht="13.5" thickBot="1">
      <c r="A92" s="16"/>
      <c r="C92" s="90" t="s">
        <v>83</v>
      </c>
      <c r="D92" s="105" t="str">
        <f>+D9</f>
        <v>TP2020033</v>
      </c>
      <c r="E92" s="91"/>
      <c r="F92" s="91"/>
      <c r="G92" s="91"/>
      <c r="H92" s="91"/>
      <c r="I92" s="91"/>
      <c r="J92" s="91"/>
      <c r="K92" s="92"/>
      <c r="P92" s="41"/>
    </row>
    <row r="93" spans="1:16">
      <c r="C93" s="46" t="s">
        <v>49</v>
      </c>
      <c r="D93" s="654">
        <v>0</v>
      </c>
      <c r="E93" s="9" t="s">
        <v>84</v>
      </c>
      <c r="H93" s="44"/>
      <c r="I93" s="44"/>
      <c r="J93" s="45">
        <f>+'OKT.WS.G.BPU.ATRR.True-up'!M16</f>
        <v>2020</v>
      </c>
      <c r="K93" s="40"/>
      <c r="L93" s="19" t="s">
        <v>85</v>
      </c>
      <c r="P93" s="4"/>
    </row>
    <row r="94" spans="1:16">
      <c r="C94" s="46" t="s">
        <v>52</v>
      </c>
      <c r="D94" s="102">
        <f>IF(D11="","",D11)</f>
        <v>2022</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c r="C95" s="46" t="s">
        <v>54</v>
      </c>
      <c r="D95" s="102">
        <f>IF(D12="","",D12)</f>
        <v>10</v>
      </c>
      <c r="E95" s="46" t="s">
        <v>55</v>
      </c>
      <c r="F95" s="44"/>
      <c r="G95" s="44"/>
      <c r="J95" s="50">
        <f>'OKT.WS.G.BPU.ATRR.True-up'!$F$81</f>
        <v>0.11475877389767174</v>
      </c>
      <c r="K95" s="51"/>
      <c r="L95" t="s">
        <v>86</v>
      </c>
      <c r="P95" s="4"/>
    </row>
    <row r="96" spans="1:16">
      <c r="C96" s="46" t="s">
        <v>57</v>
      </c>
      <c r="D96" s="48">
        <f>'OKT.WS.G.BPU.ATRR.True-up'!F$93</f>
        <v>21</v>
      </c>
      <c r="E96" s="46" t="s">
        <v>58</v>
      </c>
      <c r="F96" s="44"/>
      <c r="G96" s="44"/>
      <c r="J96" s="50">
        <f>IF(H88="",J95,'OKT.WS.G.BPU.ATRR.True-up'!$F$80)</f>
        <v>0.11475877389767174</v>
      </c>
      <c r="K96" s="10"/>
      <c r="L96" s="19" t="s">
        <v>59</v>
      </c>
      <c r="M96" s="10"/>
      <c r="N96" s="10"/>
      <c r="O96" s="10"/>
      <c r="P96" s="4"/>
    </row>
    <row r="97" spans="1:16" ht="13.5" thickBot="1">
      <c r="C97" s="46" t="s">
        <v>60</v>
      </c>
      <c r="D97" s="103" t="str">
        <f>+D14</f>
        <v>No</v>
      </c>
      <c r="E97" s="87" t="s">
        <v>62</v>
      </c>
      <c r="F97" s="93"/>
      <c r="G97" s="93"/>
      <c r="H97" s="94"/>
      <c r="I97" s="94"/>
      <c r="J97" s="34">
        <f>IF(D93=0,0,D93/D96)</f>
        <v>0</v>
      </c>
      <c r="K97" s="19"/>
      <c r="L97" s="19"/>
      <c r="M97" s="19"/>
      <c r="N97" s="19"/>
      <c r="O97" s="19"/>
      <c r="P97" s="4"/>
    </row>
    <row r="98" spans="1:16" ht="38.25">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c r="B100" t="str">
        <f t="shared" ref="B100:B155" si="10">IF(D100=F99,"","IU")</f>
        <v>IU</v>
      </c>
      <c r="C100" s="62">
        <f>IF(D94= "","-",D94)</f>
        <v>2022</v>
      </c>
      <c r="D100" s="63">
        <f>IF(D94=C100,0,IF(D93&lt;100000,0,D93))</f>
        <v>0</v>
      </c>
      <c r="E100" s="70">
        <f>IF(D93&lt;100000,0,J$97/12*(12-D95))</f>
        <v>0</v>
      </c>
      <c r="F100" s="68">
        <f>IF(D94=C100,+D93-E100,+D100-E100)</f>
        <v>0</v>
      </c>
      <c r="G100" s="98">
        <f>+(F100+D100)/2</f>
        <v>0</v>
      </c>
      <c r="H100" s="98">
        <f t="shared" ref="H100:H107" si="11">+J$95*G100+E100</f>
        <v>0</v>
      </c>
      <c r="I100" s="98">
        <f>+J$96*G100+E100</f>
        <v>0</v>
      </c>
      <c r="J100" s="67">
        <f t="shared" ref="J100:J107" si="12">+I100-H100</f>
        <v>0</v>
      </c>
      <c r="K100" s="67"/>
      <c r="L100" s="506">
        <f>+H100</f>
        <v>0</v>
      </c>
      <c r="M100" s="653">
        <f t="shared" ref="M100:M131" si="13">IF(L100&lt;&gt;0,+H100-L100,0)</f>
        <v>0</v>
      </c>
      <c r="N100" s="506">
        <f>+I100</f>
        <v>0</v>
      </c>
      <c r="O100" s="66">
        <f t="shared" ref="O100:O131" si="14">IF(N100&lt;&gt;0,+I100-N100,0)</f>
        <v>0</v>
      </c>
      <c r="P100" s="66">
        <f t="shared" ref="P100:P131" si="15">+O100-M100</f>
        <v>0</v>
      </c>
    </row>
    <row r="101" spans="1:16">
      <c r="B101" t="str">
        <f t="shared" si="10"/>
        <v/>
      </c>
      <c r="C101" s="62">
        <f>IF(D94="","-",+C100+1)</f>
        <v>2023</v>
      </c>
      <c r="D101" s="648">
        <f>IF(F100+SUM(E$100:E100)=D$93,F100,D$93-SUM(E$100:E100))</f>
        <v>0</v>
      </c>
      <c r="E101" s="509">
        <f t="shared" ref="E101:E102" si="16">IF(+J$97&lt;F100,J$97,D101)</f>
        <v>0</v>
      </c>
      <c r="F101" s="649">
        <f t="shared" ref="F101:F102" si="17">+D101-E101</f>
        <v>0</v>
      </c>
      <c r="G101" s="649">
        <f t="shared" ref="G101:G102" si="18">+(F101+D101)/2</f>
        <v>0</v>
      </c>
      <c r="H101" s="650">
        <f t="shared" ref="H101:H102" si="19">(D101+F101)/2*J$95+E101</f>
        <v>0</v>
      </c>
      <c r="I101" s="628">
        <f t="shared" ref="I101:I102" si="20">+J$96*G101+E101</f>
        <v>0</v>
      </c>
      <c r="J101" s="67">
        <f t="shared" si="12"/>
        <v>0</v>
      </c>
      <c r="K101" s="67"/>
      <c r="L101" s="130"/>
      <c r="M101" s="67">
        <f t="shared" si="13"/>
        <v>0</v>
      </c>
      <c r="N101" s="130"/>
      <c r="O101" s="67">
        <f t="shared" si="14"/>
        <v>0</v>
      </c>
      <c r="P101" s="67">
        <f t="shared" si="15"/>
        <v>0</v>
      </c>
    </row>
    <row r="102" spans="1:16">
      <c r="B102" t="str">
        <f t="shared" si="10"/>
        <v/>
      </c>
      <c r="C102" s="62">
        <f>IF(D94="","-",+C101+1)</f>
        <v>2024</v>
      </c>
      <c r="D102" s="648">
        <f>IF(F101+SUM(E$100:E101)=D$93,F101,D$93-SUM(E$100:E101))</f>
        <v>0</v>
      </c>
      <c r="E102" s="509">
        <f t="shared" si="16"/>
        <v>0</v>
      </c>
      <c r="F102" s="649">
        <f t="shared" si="17"/>
        <v>0</v>
      </c>
      <c r="G102" s="649">
        <f t="shared" si="18"/>
        <v>0</v>
      </c>
      <c r="H102" s="650">
        <f t="shared" si="19"/>
        <v>0</v>
      </c>
      <c r="I102" s="628">
        <f t="shared" si="20"/>
        <v>0</v>
      </c>
      <c r="J102" s="67">
        <f t="shared" si="12"/>
        <v>0</v>
      </c>
      <c r="K102" s="67"/>
      <c r="L102" s="130"/>
      <c r="M102" s="67">
        <f t="shared" si="13"/>
        <v>0</v>
      </c>
      <c r="N102" s="130"/>
      <c r="O102" s="67">
        <f t="shared" si="14"/>
        <v>0</v>
      </c>
      <c r="P102" s="67">
        <f t="shared" si="15"/>
        <v>0</v>
      </c>
    </row>
    <row r="103" spans="1:16">
      <c r="B103" t="str">
        <f t="shared" si="10"/>
        <v/>
      </c>
      <c r="C103" s="62">
        <f>IF(D94="","-",+C102+1)</f>
        <v>2025</v>
      </c>
      <c r="D103" s="63">
        <f>IF(F102+SUM(E$100:E102)=D$93,F102,D$93-SUM(E$100:E102))</f>
        <v>0</v>
      </c>
      <c r="E103" s="69">
        <f t="shared" ref="E103:E107" si="21">IF(+J$97&lt;F102,J$97,D103)</f>
        <v>0</v>
      </c>
      <c r="F103" s="68">
        <f t="shared" ref="F103:F107" si="22">+D103-E103</f>
        <v>0</v>
      </c>
      <c r="G103" s="68">
        <f t="shared" ref="G103:G107" si="23">+(F103+D103)/2</f>
        <v>0</v>
      </c>
      <c r="H103" s="128">
        <f t="shared" si="11"/>
        <v>0</v>
      </c>
      <c r="I103" s="137">
        <f t="shared" ref="I103:I107" si="24">+J$96*G103+E103</f>
        <v>0</v>
      </c>
      <c r="J103" s="67">
        <f t="shared" si="12"/>
        <v>0</v>
      </c>
      <c r="K103" s="67"/>
      <c r="L103" s="130"/>
      <c r="M103" s="67">
        <f t="shared" si="13"/>
        <v>0</v>
      </c>
      <c r="N103" s="130"/>
      <c r="O103" s="67">
        <f t="shared" si="14"/>
        <v>0</v>
      </c>
      <c r="P103" s="67">
        <f t="shared" si="15"/>
        <v>0</v>
      </c>
    </row>
    <row r="104" spans="1:16">
      <c r="B104" t="str">
        <f t="shared" si="10"/>
        <v/>
      </c>
      <c r="C104" s="62">
        <f>IF(D94="","-",+C103+1)</f>
        <v>2026</v>
      </c>
      <c r="D104" s="63">
        <f>IF(F103+SUM(E$100:E103)=D$93,F103,D$93-SUM(E$100:E103))</f>
        <v>0</v>
      </c>
      <c r="E104" s="69">
        <f t="shared" si="21"/>
        <v>0</v>
      </c>
      <c r="F104" s="68">
        <f t="shared" si="22"/>
        <v>0</v>
      </c>
      <c r="G104" s="68">
        <f t="shared" si="23"/>
        <v>0</v>
      </c>
      <c r="H104" s="128">
        <f t="shared" si="11"/>
        <v>0</v>
      </c>
      <c r="I104" s="137">
        <f t="shared" si="24"/>
        <v>0</v>
      </c>
      <c r="J104" s="67">
        <f t="shared" si="12"/>
        <v>0</v>
      </c>
      <c r="K104" s="67"/>
      <c r="L104" s="130"/>
      <c r="M104" s="67">
        <f t="shared" si="13"/>
        <v>0</v>
      </c>
      <c r="N104" s="130"/>
      <c r="O104" s="67">
        <f t="shared" si="14"/>
        <v>0</v>
      </c>
      <c r="P104" s="67">
        <f t="shared" si="15"/>
        <v>0</v>
      </c>
    </row>
    <row r="105" spans="1:16">
      <c r="B105" t="str">
        <f t="shared" si="10"/>
        <v/>
      </c>
      <c r="C105" s="62">
        <f>IF(D94="","-",+C104+1)</f>
        <v>2027</v>
      </c>
      <c r="D105" s="63">
        <f>IF(F104+SUM(E$100:E104)=D$93,F104,D$93-SUM(E$100:E104))</f>
        <v>0</v>
      </c>
      <c r="E105" s="69">
        <f t="shared" si="21"/>
        <v>0</v>
      </c>
      <c r="F105" s="68">
        <f t="shared" si="22"/>
        <v>0</v>
      </c>
      <c r="G105" s="68">
        <f t="shared" si="23"/>
        <v>0</v>
      </c>
      <c r="H105" s="128">
        <f t="shared" si="11"/>
        <v>0</v>
      </c>
      <c r="I105" s="137">
        <f t="shared" si="24"/>
        <v>0</v>
      </c>
      <c r="J105" s="67">
        <f t="shared" si="12"/>
        <v>0</v>
      </c>
      <c r="K105" s="67"/>
      <c r="L105" s="130"/>
      <c r="M105" s="67">
        <f t="shared" si="13"/>
        <v>0</v>
      </c>
      <c r="N105" s="130"/>
      <c r="O105" s="67">
        <f t="shared" si="14"/>
        <v>0</v>
      </c>
      <c r="P105" s="67">
        <f t="shared" si="15"/>
        <v>0</v>
      </c>
    </row>
    <row r="106" spans="1:16">
      <c r="B106" t="str">
        <f t="shared" si="10"/>
        <v/>
      </c>
      <c r="C106" s="62">
        <f>IF(D94="","-",+C105+1)</f>
        <v>2028</v>
      </c>
      <c r="D106" s="63">
        <f>IF(F105+SUM(E$100:E105)=D$93,F105,D$93-SUM(E$100:E105))</f>
        <v>0</v>
      </c>
      <c r="E106" s="69">
        <f t="shared" si="21"/>
        <v>0</v>
      </c>
      <c r="F106" s="68">
        <f t="shared" si="22"/>
        <v>0</v>
      </c>
      <c r="G106" s="68">
        <f t="shared" si="23"/>
        <v>0</v>
      </c>
      <c r="H106" s="128">
        <f t="shared" si="11"/>
        <v>0</v>
      </c>
      <c r="I106" s="137">
        <f t="shared" si="24"/>
        <v>0</v>
      </c>
      <c r="J106" s="67">
        <f t="shared" si="12"/>
        <v>0</v>
      </c>
      <c r="K106" s="67"/>
      <c r="L106" s="130"/>
      <c r="M106" s="67">
        <f t="shared" si="13"/>
        <v>0</v>
      </c>
      <c r="N106" s="130"/>
      <c r="O106" s="67">
        <f t="shared" si="14"/>
        <v>0</v>
      </c>
      <c r="P106" s="67">
        <f t="shared" si="15"/>
        <v>0</v>
      </c>
    </row>
    <row r="107" spans="1:16">
      <c r="B107" t="str">
        <f t="shared" si="10"/>
        <v/>
      </c>
      <c r="C107" s="62">
        <f>IF(D94="","-",+C106+1)</f>
        <v>2029</v>
      </c>
      <c r="D107" s="63">
        <f>IF(F106+SUM(E$100:E106)=D$93,F106,D$93-SUM(E$100:E106))</f>
        <v>0</v>
      </c>
      <c r="E107" s="69">
        <f t="shared" si="21"/>
        <v>0</v>
      </c>
      <c r="F107" s="68">
        <f t="shared" si="22"/>
        <v>0</v>
      </c>
      <c r="G107" s="68">
        <f t="shared" si="23"/>
        <v>0</v>
      </c>
      <c r="H107" s="128">
        <f t="shared" si="11"/>
        <v>0</v>
      </c>
      <c r="I107" s="137">
        <f t="shared" si="24"/>
        <v>0</v>
      </c>
      <c r="J107" s="67">
        <f t="shared" si="12"/>
        <v>0</v>
      </c>
      <c r="K107" s="67"/>
      <c r="L107" s="130"/>
      <c r="M107" s="67">
        <f t="shared" si="13"/>
        <v>0</v>
      </c>
      <c r="N107" s="130"/>
      <c r="O107" s="67">
        <f t="shared" si="14"/>
        <v>0</v>
      </c>
      <c r="P107" s="67">
        <f t="shared" si="15"/>
        <v>0</v>
      </c>
    </row>
    <row r="108" spans="1:16">
      <c r="B108" t="str">
        <f t="shared" si="10"/>
        <v/>
      </c>
      <c r="C108" s="62">
        <f>IF(D94="","-",+C107+1)</f>
        <v>2030</v>
      </c>
      <c r="D108" s="648">
        <f>IF(F107+SUM(E$100:E107)=D$93,F107,D$93-SUM(E$100:E107))</f>
        <v>0</v>
      </c>
      <c r="E108" s="509">
        <f t="shared" ref="E108:E155" si="25">IF(+J$97&lt;F107,J$97,D108)</f>
        <v>0</v>
      </c>
      <c r="F108" s="649">
        <f t="shared" ref="F108:F155" si="26">+D108-E108</f>
        <v>0</v>
      </c>
      <c r="G108" s="649">
        <f t="shared" ref="G108:G155" si="27">+(F108+D108)/2</f>
        <v>0</v>
      </c>
      <c r="H108" s="650">
        <f t="shared" ref="H108:H155" si="28">(D108+F108)/2*J$95+E108</f>
        <v>0</v>
      </c>
      <c r="I108" s="628">
        <f t="shared" ref="I108:I155" si="29">+J$96*G108+E108</f>
        <v>0</v>
      </c>
      <c r="J108" s="67">
        <f t="shared" ref="J108:J131" si="30">+I108-H108</f>
        <v>0</v>
      </c>
      <c r="K108" s="67"/>
      <c r="L108" s="130"/>
      <c r="M108" s="67">
        <f t="shared" si="13"/>
        <v>0</v>
      </c>
      <c r="N108" s="130"/>
      <c r="O108" s="67">
        <f t="shared" si="14"/>
        <v>0</v>
      </c>
      <c r="P108" s="67">
        <f t="shared" si="15"/>
        <v>0</v>
      </c>
    </row>
    <row r="109" spans="1:16">
      <c r="B109" t="str">
        <f t="shared" si="10"/>
        <v/>
      </c>
      <c r="C109" s="62">
        <f>IF(D94="","-",+C108+1)</f>
        <v>2031</v>
      </c>
      <c r="D109" s="648">
        <f>IF(F108+SUM(E$100:E108)=D$93,F108,D$93-SUM(E$100:E108))</f>
        <v>0</v>
      </c>
      <c r="E109" s="509">
        <f t="shared" si="25"/>
        <v>0</v>
      </c>
      <c r="F109" s="649">
        <f t="shared" si="26"/>
        <v>0</v>
      </c>
      <c r="G109" s="649">
        <f t="shared" si="27"/>
        <v>0</v>
      </c>
      <c r="H109" s="650">
        <f t="shared" si="28"/>
        <v>0</v>
      </c>
      <c r="I109" s="628">
        <f t="shared" si="29"/>
        <v>0</v>
      </c>
      <c r="J109" s="67">
        <f t="shared" si="30"/>
        <v>0</v>
      </c>
      <c r="K109" s="67"/>
      <c r="L109" s="130"/>
      <c r="M109" s="67">
        <f t="shared" si="13"/>
        <v>0</v>
      </c>
      <c r="N109" s="130"/>
      <c r="O109" s="67">
        <f t="shared" si="14"/>
        <v>0</v>
      </c>
      <c r="P109" s="67">
        <f t="shared" si="15"/>
        <v>0</v>
      </c>
    </row>
    <row r="110" spans="1:16">
      <c r="B110" t="str">
        <f t="shared" si="10"/>
        <v/>
      </c>
      <c r="C110" s="62">
        <f>IF(D94="","-",+C109+1)</f>
        <v>2032</v>
      </c>
      <c r="D110" s="648">
        <f>IF(F109+SUM(E$100:E109)=D$93,F109,D$93-SUM(E$100:E109))</f>
        <v>0</v>
      </c>
      <c r="E110" s="509">
        <f t="shared" si="25"/>
        <v>0</v>
      </c>
      <c r="F110" s="649">
        <f t="shared" si="26"/>
        <v>0</v>
      </c>
      <c r="G110" s="649">
        <f t="shared" si="27"/>
        <v>0</v>
      </c>
      <c r="H110" s="650">
        <f t="shared" si="28"/>
        <v>0</v>
      </c>
      <c r="I110" s="628">
        <f t="shared" si="29"/>
        <v>0</v>
      </c>
      <c r="J110" s="67">
        <f t="shared" si="30"/>
        <v>0</v>
      </c>
      <c r="K110" s="67"/>
      <c r="L110" s="130"/>
      <c r="M110" s="67">
        <f t="shared" si="13"/>
        <v>0</v>
      </c>
      <c r="N110" s="130"/>
      <c r="O110" s="67">
        <f t="shared" si="14"/>
        <v>0</v>
      </c>
      <c r="P110" s="67">
        <f t="shared" si="15"/>
        <v>0</v>
      </c>
    </row>
    <row r="111" spans="1:16">
      <c r="B111" t="str">
        <f t="shared" si="10"/>
        <v/>
      </c>
      <c r="C111" s="62">
        <f>IF(D94="","-",+C110+1)</f>
        <v>2033</v>
      </c>
      <c r="D111" s="648">
        <f>IF(F110+SUM(E$100:E110)=D$93,F110,D$93-SUM(E$100:E110))</f>
        <v>0</v>
      </c>
      <c r="E111" s="509">
        <f t="shared" si="25"/>
        <v>0</v>
      </c>
      <c r="F111" s="649">
        <f t="shared" si="26"/>
        <v>0</v>
      </c>
      <c r="G111" s="649">
        <f t="shared" si="27"/>
        <v>0</v>
      </c>
      <c r="H111" s="650">
        <f t="shared" si="28"/>
        <v>0</v>
      </c>
      <c r="I111" s="628">
        <f t="shared" si="29"/>
        <v>0</v>
      </c>
      <c r="J111" s="67">
        <f t="shared" si="30"/>
        <v>0</v>
      </c>
      <c r="K111" s="67"/>
      <c r="L111" s="130"/>
      <c r="M111" s="67">
        <f t="shared" si="13"/>
        <v>0</v>
      </c>
      <c r="N111" s="130"/>
      <c r="O111" s="67">
        <f t="shared" si="14"/>
        <v>0</v>
      </c>
      <c r="P111" s="67">
        <f t="shared" si="15"/>
        <v>0</v>
      </c>
    </row>
    <row r="112" spans="1:16">
      <c r="B112" t="str">
        <f t="shared" si="10"/>
        <v/>
      </c>
      <c r="C112" s="62">
        <f>IF(D94="","-",+C111+1)</f>
        <v>2034</v>
      </c>
      <c r="D112" s="648">
        <f>IF(F111+SUM(E$100:E111)=D$93,F111,D$93-SUM(E$100:E111))</f>
        <v>0</v>
      </c>
      <c r="E112" s="509">
        <f t="shared" si="25"/>
        <v>0</v>
      </c>
      <c r="F112" s="649">
        <f t="shared" si="26"/>
        <v>0</v>
      </c>
      <c r="G112" s="649">
        <f t="shared" si="27"/>
        <v>0</v>
      </c>
      <c r="H112" s="650">
        <f t="shared" si="28"/>
        <v>0</v>
      </c>
      <c r="I112" s="628">
        <f t="shared" si="29"/>
        <v>0</v>
      </c>
      <c r="J112" s="67">
        <f t="shared" si="30"/>
        <v>0</v>
      </c>
      <c r="K112" s="67"/>
      <c r="L112" s="130"/>
      <c r="M112" s="67">
        <f t="shared" si="13"/>
        <v>0</v>
      </c>
      <c r="N112" s="130"/>
      <c r="O112" s="67">
        <f t="shared" si="14"/>
        <v>0</v>
      </c>
      <c r="P112" s="67">
        <f t="shared" si="15"/>
        <v>0</v>
      </c>
    </row>
    <row r="113" spans="2:16">
      <c r="B113" t="str">
        <f t="shared" si="10"/>
        <v/>
      </c>
      <c r="C113" s="62">
        <f>IF(D94="","-",+C112+1)</f>
        <v>2035</v>
      </c>
      <c r="D113" s="648">
        <f>IF(F112+SUM(E$100:E112)=D$93,F112,D$93-SUM(E$100:E112))</f>
        <v>0</v>
      </c>
      <c r="E113" s="509">
        <f t="shared" si="25"/>
        <v>0</v>
      </c>
      <c r="F113" s="649">
        <f t="shared" si="26"/>
        <v>0</v>
      </c>
      <c r="G113" s="649">
        <f t="shared" si="27"/>
        <v>0</v>
      </c>
      <c r="H113" s="650">
        <f t="shared" si="28"/>
        <v>0</v>
      </c>
      <c r="I113" s="628">
        <f t="shared" si="29"/>
        <v>0</v>
      </c>
      <c r="J113" s="67">
        <f t="shared" si="30"/>
        <v>0</v>
      </c>
      <c r="K113" s="67"/>
      <c r="L113" s="130"/>
      <c r="M113" s="67">
        <f t="shared" si="13"/>
        <v>0</v>
      </c>
      <c r="N113" s="130"/>
      <c r="O113" s="67">
        <f t="shared" si="14"/>
        <v>0</v>
      </c>
      <c r="P113" s="67">
        <f t="shared" si="15"/>
        <v>0</v>
      </c>
    </row>
    <row r="114" spans="2:16">
      <c r="B114" t="str">
        <f t="shared" si="10"/>
        <v/>
      </c>
      <c r="C114" s="62">
        <f>IF(D94="","-",+C113+1)</f>
        <v>2036</v>
      </c>
      <c r="D114" s="648">
        <f>IF(F113+SUM(E$100:E113)=D$93,F113,D$93-SUM(E$100:E113))</f>
        <v>0</v>
      </c>
      <c r="E114" s="509">
        <f t="shared" si="25"/>
        <v>0</v>
      </c>
      <c r="F114" s="649">
        <f t="shared" si="26"/>
        <v>0</v>
      </c>
      <c r="G114" s="649">
        <f t="shared" si="27"/>
        <v>0</v>
      </c>
      <c r="H114" s="650">
        <f t="shared" si="28"/>
        <v>0</v>
      </c>
      <c r="I114" s="628">
        <f t="shared" si="29"/>
        <v>0</v>
      </c>
      <c r="J114" s="67">
        <f t="shared" si="30"/>
        <v>0</v>
      </c>
      <c r="K114" s="67"/>
      <c r="L114" s="130"/>
      <c r="M114" s="67">
        <f t="shared" si="13"/>
        <v>0</v>
      </c>
      <c r="N114" s="130"/>
      <c r="O114" s="67">
        <f t="shared" si="14"/>
        <v>0</v>
      </c>
      <c r="P114" s="67">
        <f t="shared" si="15"/>
        <v>0</v>
      </c>
    </row>
    <row r="115" spans="2:16">
      <c r="B115" t="str">
        <f t="shared" si="10"/>
        <v/>
      </c>
      <c r="C115" s="62">
        <f>IF(D94="","-",+C114+1)</f>
        <v>2037</v>
      </c>
      <c r="D115" s="648">
        <f>IF(F114+SUM(E$100:E114)=D$93,F114,D$93-SUM(E$100:E114))</f>
        <v>0</v>
      </c>
      <c r="E115" s="509">
        <f t="shared" si="25"/>
        <v>0</v>
      </c>
      <c r="F115" s="649">
        <f t="shared" si="26"/>
        <v>0</v>
      </c>
      <c r="G115" s="649">
        <f t="shared" si="27"/>
        <v>0</v>
      </c>
      <c r="H115" s="650">
        <f t="shared" si="28"/>
        <v>0</v>
      </c>
      <c r="I115" s="628">
        <f t="shared" si="29"/>
        <v>0</v>
      </c>
      <c r="J115" s="67">
        <f t="shared" si="30"/>
        <v>0</v>
      </c>
      <c r="K115" s="67"/>
      <c r="L115" s="130"/>
      <c r="M115" s="67">
        <f t="shared" si="13"/>
        <v>0</v>
      </c>
      <c r="N115" s="130"/>
      <c r="O115" s="67">
        <f t="shared" si="14"/>
        <v>0</v>
      </c>
      <c r="P115" s="67">
        <f t="shared" si="15"/>
        <v>0</v>
      </c>
    </row>
    <row r="116" spans="2:16">
      <c r="B116" t="str">
        <f t="shared" si="10"/>
        <v/>
      </c>
      <c r="C116" s="62">
        <f>IF(D94="","-",+C115+1)</f>
        <v>2038</v>
      </c>
      <c r="D116" s="648">
        <f>IF(F115+SUM(E$100:E115)=D$93,F115,D$93-SUM(E$100:E115))</f>
        <v>0</v>
      </c>
      <c r="E116" s="509">
        <f t="shared" si="25"/>
        <v>0</v>
      </c>
      <c r="F116" s="649">
        <f t="shared" si="26"/>
        <v>0</v>
      </c>
      <c r="G116" s="649">
        <f t="shared" si="27"/>
        <v>0</v>
      </c>
      <c r="H116" s="650">
        <f t="shared" si="28"/>
        <v>0</v>
      </c>
      <c r="I116" s="628">
        <f t="shared" si="29"/>
        <v>0</v>
      </c>
      <c r="J116" s="67">
        <f t="shared" si="30"/>
        <v>0</v>
      </c>
      <c r="K116" s="67"/>
      <c r="L116" s="130"/>
      <c r="M116" s="67">
        <f t="shared" si="13"/>
        <v>0</v>
      </c>
      <c r="N116" s="130"/>
      <c r="O116" s="67">
        <f t="shared" si="14"/>
        <v>0</v>
      </c>
      <c r="P116" s="67">
        <f t="shared" si="15"/>
        <v>0</v>
      </c>
    </row>
    <row r="117" spans="2:16">
      <c r="B117" t="str">
        <f t="shared" si="10"/>
        <v/>
      </c>
      <c r="C117" s="62">
        <f>IF(D94="","-",+C116+1)</f>
        <v>2039</v>
      </c>
      <c r="D117" s="648">
        <f>IF(F116+SUM(E$100:E116)=D$93,F116,D$93-SUM(E$100:E116))</f>
        <v>0</v>
      </c>
      <c r="E117" s="509">
        <f t="shared" si="25"/>
        <v>0</v>
      </c>
      <c r="F117" s="649">
        <f t="shared" si="26"/>
        <v>0</v>
      </c>
      <c r="G117" s="649">
        <f t="shared" si="27"/>
        <v>0</v>
      </c>
      <c r="H117" s="650">
        <f t="shared" si="28"/>
        <v>0</v>
      </c>
      <c r="I117" s="628">
        <f t="shared" si="29"/>
        <v>0</v>
      </c>
      <c r="J117" s="67">
        <f t="shared" si="30"/>
        <v>0</v>
      </c>
      <c r="K117" s="67"/>
      <c r="L117" s="130"/>
      <c r="M117" s="67">
        <f t="shared" si="13"/>
        <v>0</v>
      </c>
      <c r="N117" s="130"/>
      <c r="O117" s="67">
        <f t="shared" si="14"/>
        <v>0</v>
      </c>
      <c r="P117" s="67">
        <f t="shared" si="15"/>
        <v>0</v>
      </c>
    </row>
    <row r="118" spans="2:16">
      <c r="B118" t="str">
        <f t="shared" si="10"/>
        <v/>
      </c>
      <c r="C118" s="62">
        <f>IF(D94="","-",+C117+1)</f>
        <v>2040</v>
      </c>
      <c r="D118" s="648">
        <f>IF(F117+SUM(E$100:E117)=D$93,F117,D$93-SUM(E$100:E117))</f>
        <v>0</v>
      </c>
      <c r="E118" s="509">
        <f t="shared" si="25"/>
        <v>0</v>
      </c>
      <c r="F118" s="649">
        <f t="shared" si="26"/>
        <v>0</v>
      </c>
      <c r="G118" s="649">
        <f t="shared" si="27"/>
        <v>0</v>
      </c>
      <c r="H118" s="650">
        <f t="shared" si="28"/>
        <v>0</v>
      </c>
      <c r="I118" s="628">
        <f t="shared" si="29"/>
        <v>0</v>
      </c>
      <c r="J118" s="67">
        <f t="shared" si="30"/>
        <v>0</v>
      </c>
      <c r="K118" s="67"/>
      <c r="L118" s="130"/>
      <c r="M118" s="67">
        <f t="shared" si="13"/>
        <v>0</v>
      </c>
      <c r="N118" s="130"/>
      <c r="O118" s="67">
        <f t="shared" si="14"/>
        <v>0</v>
      </c>
      <c r="P118" s="67">
        <f t="shared" si="15"/>
        <v>0</v>
      </c>
    </row>
    <row r="119" spans="2:16">
      <c r="B119" t="str">
        <f t="shared" si="10"/>
        <v/>
      </c>
      <c r="C119" s="62">
        <f>IF(D94="","-",+C118+1)</f>
        <v>2041</v>
      </c>
      <c r="D119" s="648">
        <f>IF(F118+SUM(E$100:E118)=D$93,F118,D$93-SUM(E$100:E118))</f>
        <v>0</v>
      </c>
      <c r="E119" s="509">
        <f t="shared" si="25"/>
        <v>0</v>
      </c>
      <c r="F119" s="649">
        <f t="shared" si="26"/>
        <v>0</v>
      </c>
      <c r="G119" s="649">
        <f t="shared" si="27"/>
        <v>0</v>
      </c>
      <c r="H119" s="650">
        <f t="shared" si="28"/>
        <v>0</v>
      </c>
      <c r="I119" s="628">
        <f t="shared" si="29"/>
        <v>0</v>
      </c>
      <c r="J119" s="67">
        <f t="shared" si="30"/>
        <v>0</v>
      </c>
      <c r="K119" s="67"/>
      <c r="L119" s="130"/>
      <c r="M119" s="67">
        <f t="shared" si="13"/>
        <v>0</v>
      </c>
      <c r="N119" s="130"/>
      <c r="O119" s="67">
        <f t="shared" si="14"/>
        <v>0</v>
      </c>
      <c r="P119" s="67">
        <f t="shared" si="15"/>
        <v>0</v>
      </c>
    </row>
    <row r="120" spans="2:16">
      <c r="B120" t="str">
        <f t="shared" si="10"/>
        <v/>
      </c>
      <c r="C120" s="62">
        <f>IF(D94="","-",+C119+1)</f>
        <v>2042</v>
      </c>
      <c r="D120" s="648">
        <f>IF(F119+SUM(E$100:E119)=D$93,F119,D$93-SUM(E$100:E119))</f>
        <v>0</v>
      </c>
      <c r="E120" s="509">
        <f t="shared" si="25"/>
        <v>0</v>
      </c>
      <c r="F120" s="649">
        <f t="shared" si="26"/>
        <v>0</v>
      </c>
      <c r="G120" s="649">
        <f t="shared" si="27"/>
        <v>0</v>
      </c>
      <c r="H120" s="650">
        <f t="shared" si="28"/>
        <v>0</v>
      </c>
      <c r="I120" s="628">
        <f t="shared" si="29"/>
        <v>0</v>
      </c>
      <c r="J120" s="67">
        <f t="shared" si="30"/>
        <v>0</v>
      </c>
      <c r="K120" s="67"/>
      <c r="L120" s="130"/>
      <c r="M120" s="67">
        <f t="shared" si="13"/>
        <v>0</v>
      </c>
      <c r="N120" s="130"/>
      <c r="O120" s="67">
        <f t="shared" si="14"/>
        <v>0</v>
      </c>
      <c r="P120" s="67">
        <f t="shared" si="15"/>
        <v>0</v>
      </c>
    </row>
    <row r="121" spans="2:16">
      <c r="B121" t="str">
        <f t="shared" si="10"/>
        <v/>
      </c>
      <c r="C121" s="62">
        <f>IF(D94="","-",+C120+1)</f>
        <v>2043</v>
      </c>
      <c r="D121" s="648">
        <f>IF(F120+SUM(E$100:E120)=D$93,F120,D$93-SUM(E$100:E120))</f>
        <v>0</v>
      </c>
      <c r="E121" s="509">
        <f t="shared" si="25"/>
        <v>0</v>
      </c>
      <c r="F121" s="649">
        <f t="shared" si="26"/>
        <v>0</v>
      </c>
      <c r="G121" s="649">
        <f t="shared" si="27"/>
        <v>0</v>
      </c>
      <c r="H121" s="650">
        <f t="shared" si="28"/>
        <v>0</v>
      </c>
      <c r="I121" s="628">
        <f t="shared" si="29"/>
        <v>0</v>
      </c>
      <c r="J121" s="67">
        <f t="shared" si="30"/>
        <v>0</v>
      </c>
      <c r="K121" s="67"/>
      <c r="L121" s="130"/>
      <c r="M121" s="67">
        <f t="shared" si="13"/>
        <v>0</v>
      </c>
      <c r="N121" s="130"/>
      <c r="O121" s="67">
        <f t="shared" si="14"/>
        <v>0</v>
      </c>
      <c r="P121" s="67">
        <f t="shared" si="15"/>
        <v>0</v>
      </c>
    </row>
    <row r="122" spans="2:16">
      <c r="B122" t="str">
        <f t="shared" si="10"/>
        <v/>
      </c>
      <c r="C122" s="62">
        <f>IF(D94="","-",+C121+1)</f>
        <v>2044</v>
      </c>
      <c r="D122" s="648">
        <f>IF(F121+SUM(E$100:E121)=D$93,F121,D$93-SUM(E$100:E121))</f>
        <v>0</v>
      </c>
      <c r="E122" s="509">
        <f t="shared" si="25"/>
        <v>0</v>
      </c>
      <c r="F122" s="649">
        <f t="shared" si="26"/>
        <v>0</v>
      </c>
      <c r="G122" s="649">
        <f t="shared" si="27"/>
        <v>0</v>
      </c>
      <c r="H122" s="650">
        <f t="shared" si="28"/>
        <v>0</v>
      </c>
      <c r="I122" s="628">
        <f t="shared" si="29"/>
        <v>0</v>
      </c>
      <c r="J122" s="67">
        <f t="shared" si="30"/>
        <v>0</v>
      </c>
      <c r="K122" s="67"/>
      <c r="L122" s="130"/>
      <c r="M122" s="67">
        <f t="shared" si="13"/>
        <v>0</v>
      </c>
      <c r="N122" s="130"/>
      <c r="O122" s="67">
        <f t="shared" si="14"/>
        <v>0</v>
      </c>
      <c r="P122" s="67">
        <f t="shared" si="15"/>
        <v>0</v>
      </c>
    </row>
    <row r="123" spans="2:16">
      <c r="B123" t="str">
        <f t="shared" si="10"/>
        <v/>
      </c>
      <c r="C123" s="62">
        <f>IF(D94="","-",+C122+1)</f>
        <v>2045</v>
      </c>
      <c r="D123" s="648">
        <f>IF(F122+SUM(E$100:E122)=D$93,F122,D$93-SUM(E$100:E122))</f>
        <v>0</v>
      </c>
      <c r="E123" s="509">
        <f t="shared" si="25"/>
        <v>0</v>
      </c>
      <c r="F123" s="649">
        <f t="shared" si="26"/>
        <v>0</v>
      </c>
      <c r="G123" s="649">
        <f t="shared" si="27"/>
        <v>0</v>
      </c>
      <c r="H123" s="650">
        <f t="shared" si="28"/>
        <v>0</v>
      </c>
      <c r="I123" s="628">
        <f t="shared" si="29"/>
        <v>0</v>
      </c>
      <c r="J123" s="67">
        <f t="shared" si="30"/>
        <v>0</v>
      </c>
      <c r="K123" s="67"/>
      <c r="L123" s="130"/>
      <c r="M123" s="67">
        <f t="shared" si="13"/>
        <v>0</v>
      </c>
      <c r="N123" s="130"/>
      <c r="O123" s="67">
        <f t="shared" si="14"/>
        <v>0</v>
      </c>
      <c r="P123" s="67">
        <f t="shared" si="15"/>
        <v>0</v>
      </c>
    </row>
    <row r="124" spans="2:16">
      <c r="B124" t="str">
        <f t="shared" si="10"/>
        <v/>
      </c>
      <c r="C124" s="62">
        <f>IF(D94="","-",+C123+1)</f>
        <v>2046</v>
      </c>
      <c r="D124" s="648">
        <f>IF(F123+SUM(E$100:E123)=D$93,F123,D$93-SUM(E$100:E123))</f>
        <v>0</v>
      </c>
      <c r="E124" s="509">
        <f t="shared" si="25"/>
        <v>0</v>
      </c>
      <c r="F124" s="649">
        <f t="shared" si="26"/>
        <v>0</v>
      </c>
      <c r="G124" s="649">
        <f t="shared" si="27"/>
        <v>0</v>
      </c>
      <c r="H124" s="650">
        <f t="shared" si="28"/>
        <v>0</v>
      </c>
      <c r="I124" s="628">
        <f t="shared" si="29"/>
        <v>0</v>
      </c>
      <c r="J124" s="67">
        <f t="shared" si="30"/>
        <v>0</v>
      </c>
      <c r="K124" s="67"/>
      <c r="L124" s="130"/>
      <c r="M124" s="67">
        <f t="shared" si="13"/>
        <v>0</v>
      </c>
      <c r="N124" s="130"/>
      <c r="O124" s="67">
        <f t="shared" si="14"/>
        <v>0</v>
      </c>
      <c r="P124" s="67">
        <f t="shared" si="15"/>
        <v>0</v>
      </c>
    </row>
    <row r="125" spans="2:16">
      <c r="B125" t="str">
        <f t="shared" si="10"/>
        <v/>
      </c>
      <c r="C125" s="62">
        <f>IF(D94="","-",+C124+1)</f>
        <v>2047</v>
      </c>
      <c r="D125" s="648">
        <f>IF(F124+SUM(E$100:E124)=D$93,F124,D$93-SUM(E$100:E124))</f>
        <v>0</v>
      </c>
      <c r="E125" s="509">
        <f t="shared" si="25"/>
        <v>0</v>
      </c>
      <c r="F125" s="649">
        <f t="shared" si="26"/>
        <v>0</v>
      </c>
      <c r="G125" s="649">
        <f t="shared" si="27"/>
        <v>0</v>
      </c>
      <c r="H125" s="650">
        <f t="shared" si="28"/>
        <v>0</v>
      </c>
      <c r="I125" s="628">
        <f t="shared" si="29"/>
        <v>0</v>
      </c>
      <c r="J125" s="67">
        <f t="shared" si="30"/>
        <v>0</v>
      </c>
      <c r="K125" s="67"/>
      <c r="L125" s="130"/>
      <c r="M125" s="67">
        <f t="shared" si="13"/>
        <v>0</v>
      </c>
      <c r="N125" s="130"/>
      <c r="O125" s="67">
        <f t="shared" si="14"/>
        <v>0</v>
      </c>
      <c r="P125" s="67">
        <f t="shared" si="15"/>
        <v>0</v>
      </c>
    </row>
    <row r="126" spans="2:16">
      <c r="B126" t="str">
        <f t="shared" si="10"/>
        <v/>
      </c>
      <c r="C126" s="62">
        <f>IF(D94="","-",+C125+1)</f>
        <v>2048</v>
      </c>
      <c r="D126" s="648">
        <f>IF(F125+SUM(E$100:E125)=D$93,F125,D$93-SUM(E$100:E125))</f>
        <v>0</v>
      </c>
      <c r="E126" s="509">
        <f t="shared" si="25"/>
        <v>0</v>
      </c>
      <c r="F126" s="649">
        <f t="shared" si="26"/>
        <v>0</v>
      </c>
      <c r="G126" s="649">
        <f t="shared" si="27"/>
        <v>0</v>
      </c>
      <c r="H126" s="650">
        <f t="shared" si="28"/>
        <v>0</v>
      </c>
      <c r="I126" s="628">
        <f t="shared" si="29"/>
        <v>0</v>
      </c>
      <c r="J126" s="67">
        <f t="shared" si="30"/>
        <v>0</v>
      </c>
      <c r="K126" s="67"/>
      <c r="L126" s="130"/>
      <c r="M126" s="67">
        <f t="shared" si="13"/>
        <v>0</v>
      </c>
      <c r="N126" s="130"/>
      <c r="O126" s="67">
        <f t="shared" si="14"/>
        <v>0</v>
      </c>
      <c r="P126" s="67">
        <f t="shared" si="15"/>
        <v>0</v>
      </c>
    </row>
    <row r="127" spans="2:16">
      <c r="B127" t="str">
        <f t="shared" si="10"/>
        <v/>
      </c>
      <c r="C127" s="62">
        <f>IF(D94="","-",+C126+1)</f>
        <v>2049</v>
      </c>
      <c r="D127" s="648">
        <f>IF(F126+SUM(E$100:E126)=D$93,F126,D$93-SUM(E$100:E126))</f>
        <v>0</v>
      </c>
      <c r="E127" s="509">
        <f t="shared" si="25"/>
        <v>0</v>
      </c>
      <c r="F127" s="649">
        <f t="shared" si="26"/>
        <v>0</v>
      </c>
      <c r="G127" s="649">
        <f t="shared" si="27"/>
        <v>0</v>
      </c>
      <c r="H127" s="650">
        <f t="shared" si="28"/>
        <v>0</v>
      </c>
      <c r="I127" s="628">
        <f t="shared" si="29"/>
        <v>0</v>
      </c>
      <c r="J127" s="67">
        <f t="shared" si="30"/>
        <v>0</v>
      </c>
      <c r="K127" s="67"/>
      <c r="L127" s="130"/>
      <c r="M127" s="67">
        <f t="shared" si="13"/>
        <v>0</v>
      </c>
      <c r="N127" s="130"/>
      <c r="O127" s="67">
        <f t="shared" si="14"/>
        <v>0</v>
      </c>
      <c r="P127" s="67">
        <f t="shared" si="15"/>
        <v>0</v>
      </c>
    </row>
    <row r="128" spans="2:16">
      <c r="B128" t="str">
        <f t="shared" si="10"/>
        <v/>
      </c>
      <c r="C128" s="62">
        <f>IF(D94="","-",+C127+1)</f>
        <v>2050</v>
      </c>
      <c r="D128" s="648">
        <f>IF(F127+SUM(E$100:E127)=D$93,F127,D$93-SUM(E$100:E127))</f>
        <v>0</v>
      </c>
      <c r="E128" s="509">
        <f t="shared" si="25"/>
        <v>0</v>
      </c>
      <c r="F128" s="649">
        <f t="shared" si="26"/>
        <v>0</v>
      </c>
      <c r="G128" s="649">
        <f t="shared" si="27"/>
        <v>0</v>
      </c>
      <c r="H128" s="650">
        <f t="shared" si="28"/>
        <v>0</v>
      </c>
      <c r="I128" s="628">
        <f t="shared" si="29"/>
        <v>0</v>
      </c>
      <c r="J128" s="67">
        <f t="shared" si="30"/>
        <v>0</v>
      </c>
      <c r="K128" s="67"/>
      <c r="L128" s="130"/>
      <c r="M128" s="67">
        <f t="shared" si="13"/>
        <v>0</v>
      </c>
      <c r="N128" s="130"/>
      <c r="O128" s="67">
        <f t="shared" si="14"/>
        <v>0</v>
      </c>
      <c r="P128" s="67">
        <f t="shared" si="15"/>
        <v>0</v>
      </c>
    </row>
    <row r="129" spans="2:16">
      <c r="B129" t="str">
        <f t="shared" si="10"/>
        <v/>
      </c>
      <c r="C129" s="62">
        <f>IF(D94="","-",+C128+1)</f>
        <v>2051</v>
      </c>
      <c r="D129" s="648">
        <f>IF(F128+SUM(E$100:E128)=D$93,F128,D$93-SUM(E$100:E128))</f>
        <v>0</v>
      </c>
      <c r="E129" s="509">
        <f t="shared" si="25"/>
        <v>0</v>
      </c>
      <c r="F129" s="649">
        <f t="shared" si="26"/>
        <v>0</v>
      </c>
      <c r="G129" s="649">
        <f t="shared" si="27"/>
        <v>0</v>
      </c>
      <c r="H129" s="650">
        <f t="shared" si="28"/>
        <v>0</v>
      </c>
      <c r="I129" s="628">
        <f t="shared" si="29"/>
        <v>0</v>
      </c>
      <c r="J129" s="67">
        <f t="shared" si="30"/>
        <v>0</v>
      </c>
      <c r="K129" s="67"/>
      <c r="L129" s="130"/>
      <c r="M129" s="67">
        <f t="shared" si="13"/>
        <v>0</v>
      </c>
      <c r="N129" s="130"/>
      <c r="O129" s="67">
        <f t="shared" si="14"/>
        <v>0</v>
      </c>
      <c r="P129" s="67">
        <f t="shared" si="15"/>
        <v>0</v>
      </c>
    </row>
    <row r="130" spans="2:16">
      <c r="B130" t="str">
        <f t="shared" si="10"/>
        <v/>
      </c>
      <c r="C130" s="62">
        <f>IF(D94="","-",+C129+1)</f>
        <v>2052</v>
      </c>
      <c r="D130" s="648">
        <f>IF(F129+SUM(E$100:E129)=D$93,F129,D$93-SUM(E$100:E129))</f>
        <v>0</v>
      </c>
      <c r="E130" s="509">
        <f t="shared" si="25"/>
        <v>0</v>
      </c>
      <c r="F130" s="649">
        <f t="shared" si="26"/>
        <v>0</v>
      </c>
      <c r="G130" s="649">
        <f t="shared" si="27"/>
        <v>0</v>
      </c>
      <c r="H130" s="650">
        <f t="shared" si="28"/>
        <v>0</v>
      </c>
      <c r="I130" s="628">
        <f t="shared" si="29"/>
        <v>0</v>
      </c>
      <c r="J130" s="67">
        <f t="shared" si="30"/>
        <v>0</v>
      </c>
      <c r="K130" s="67"/>
      <c r="L130" s="130"/>
      <c r="M130" s="67">
        <f t="shared" si="13"/>
        <v>0</v>
      </c>
      <c r="N130" s="130"/>
      <c r="O130" s="67">
        <f t="shared" si="14"/>
        <v>0</v>
      </c>
      <c r="P130" s="67">
        <f t="shared" si="15"/>
        <v>0</v>
      </c>
    </row>
    <row r="131" spans="2:16">
      <c r="B131" t="str">
        <f t="shared" si="10"/>
        <v/>
      </c>
      <c r="C131" s="62">
        <f>IF(D94="","-",+C130+1)</f>
        <v>2053</v>
      </c>
      <c r="D131" s="648">
        <f>IF(F130+SUM(E$100:E130)=D$93,F130,D$93-SUM(E$100:E130))</f>
        <v>0</v>
      </c>
      <c r="E131" s="509">
        <f t="shared" si="25"/>
        <v>0</v>
      </c>
      <c r="F131" s="649">
        <f t="shared" si="26"/>
        <v>0</v>
      </c>
      <c r="G131" s="649">
        <f t="shared" si="27"/>
        <v>0</v>
      </c>
      <c r="H131" s="650">
        <f t="shared" si="28"/>
        <v>0</v>
      </c>
      <c r="I131" s="628">
        <f t="shared" si="29"/>
        <v>0</v>
      </c>
      <c r="J131" s="67">
        <f t="shared" si="30"/>
        <v>0</v>
      </c>
      <c r="K131" s="67"/>
      <c r="L131" s="130"/>
      <c r="M131" s="67">
        <f t="shared" si="13"/>
        <v>0</v>
      </c>
      <c r="N131" s="130"/>
      <c r="O131" s="67">
        <f t="shared" si="14"/>
        <v>0</v>
      </c>
      <c r="P131" s="67">
        <f t="shared" si="15"/>
        <v>0</v>
      </c>
    </row>
    <row r="132" spans="2:16">
      <c r="B132" t="str">
        <f t="shared" si="10"/>
        <v/>
      </c>
      <c r="C132" s="62">
        <f>IF(D94="","-",+C131+1)</f>
        <v>2054</v>
      </c>
      <c r="D132" s="648">
        <f>IF(F131+SUM(E$100:E131)=D$93,F131,D$93-SUM(E$100:E131))</f>
        <v>0</v>
      </c>
      <c r="E132" s="509">
        <f t="shared" si="25"/>
        <v>0</v>
      </c>
      <c r="F132" s="649">
        <f t="shared" si="26"/>
        <v>0</v>
      </c>
      <c r="G132" s="649">
        <f t="shared" si="27"/>
        <v>0</v>
      </c>
      <c r="H132" s="650">
        <f t="shared" si="28"/>
        <v>0</v>
      </c>
      <c r="I132" s="628">
        <f t="shared" si="29"/>
        <v>0</v>
      </c>
      <c r="J132" s="67">
        <f t="shared" ref="J132:J155" si="31">+I542-H542</f>
        <v>0</v>
      </c>
      <c r="K132" s="67"/>
      <c r="L132" s="130"/>
      <c r="M132" s="67">
        <f t="shared" ref="M132:M155" si="32">IF(L542&lt;&gt;0,+H542-L542,0)</f>
        <v>0</v>
      </c>
      <c r="N132" s="130"/>
      <c r="O132" s="67">
        <f t="shared" ref="O132:O155" si="33">IF(N542&lt;&gt;0,+I542-N542,0)</f>
        <v>0</v>
      </c>
      <c r="P132" s="67">
        <f t="shared" ref="P132:P155" si="34">+O542-M542</f>
        <v>0</v>
      </c>
    </row>
    <row r="133" spans="2:16">
      <c r="B133" t="str">
        <f t="shared" si="10"/>
        <v/>
      </c>
      <c r="C133" s="62">
        <f>IF(D94="","-",+C132+1)</f>
        <v>2055</v>
      </c>
      <c r="D133" s="648">
        <f>IF(F132+SUM(E$100:E132)=D$93,F132,D$93-SUM(E$100:E132))</f>
        <v>0</v>
      </c>
      <c r="E133" s="509">
        <f t="shared" si="25"/>
        <v>0</v>
      </c>
      <c r="F133" s="649">
        <f t="shared" si="26"/>
        <v>0</v>
      </c>
      <c r="G133" s="649">
        <f t="shared" si="27"/>
        <v>0</v>
      </c>
      <c r="H133" s="650">
        <f t="shared" si="28"/>
        <v>0</v>
      </c>
      <c r="I133" s="628">
        <f t="shared" si="29"/>
        <v>0</v>
      </c>
      <c r="J133" s="67">
        <f t="shared" si="31"/>
        <v>0</v>
      </c>
      <c r="K133" s="67"/>
      <c r="L133" s="130"/>
      <c r="M133" s="67">
        <f t="shared" si="32"/>
        <v>0</v>
      </c>
      <c r="N133" s="130"/>
      <c r="O133" s="67">
        <f t="shared" si="33"/>
        <v>0</v>
      </c>
      <c r="P133" s="67">
        <f t="shared" si="34"/>
        <v>0</v>
      </c>
    </row>
    <row r="134" spans="2:16">
      <c r="B134" t="str">
        <f t="shared" si="10"/>
        <v/>
      </c>
      <c r="C134" s="62">
        <f>IF(D94="","-",+C133+1)</f>
        <v>2056</v>
      </c>
      <c r="D134" s="648">
        <f>IF(F133+SUM(E$100:E133)=D$93,F133,D$93-SUM(E$100:E133))</f>
        <v>0</v>
      </c>
      <c r="E134" s="509">
        <f t="shared" si="25"/>
        <v>0</v>
      </c>
      <c r="F134" s="649">
        <f t="shared" si="26"/>
        <v>0</v>
      </c>
      <c r="G134" s="649">
        <f t="shared" si="27"/>
        <v>0</v>
      </c>
      <c r="H134" s="650">
        <f t="shared" si="28"/>
        <v>0</v>
      </c>
      <c r="I134" s="628">
        <f t="shared" si="29"/>
        <v>0</v>
      </c>
      <c r="J134" s="67">
        <f t="shared" si="31"/>
        <v>0</v>
      </c>
      <c r="K134" s="67"/>
      <c r="L134" s="130"/>
      <c r="M134" s="67">
        <f t="shared" si="32"/>
        <v>0</v>
      </c>
      <c r="N134" s="130"/>
      <c r="O134" s="67">
        <f t="shared" si="33"/>
        <v>0</v>
      </c>
      <c r="P134" s="67">
        <f t="shared" si="34"/>
        <v>0</v>
      </c>
    </row>
    <row r="135" spans="2:16">
      <c r="B135" t="str">
        <f t="shared" si="10"/>
        <v/>
      </c>
      <c r="C135" s="62">
        <f>IF(D94="","-",+C134+1)</f>
        <v>2057</v>
      </c>
      <c r="D135" s="648">
        <f>IF(F134+SUM(E$100:E134)=D$93,F134,D$93-SUM(E$100:E134))</f>
        <v>0</v>
      </c>
      <c r="E135" s="509">
        <f t="shared" si="25"/>
        <v>0</v>
      </c>
      <c r="F135" s="649">
        <f t="shared" si="26"/>
        <v>0</v>
      </c>
      <c r="G135" s="649">
        <f t="shared" si="27"/>
        <v>0</v>
      </c>
      <c r="H135" s="650">
        <f t="shared" si="28"/>
        <v>0</v>
      </c>
      <c r="I135" s="628">
        <f t="shared" si="29"/>
        <v>0</v>
      </c>
      <c r="J135" s="67">
        <f t="shared" si="31"/>
        <v>0</v>
      </c>
      <c r="K135" s="67"/>
      <c r="L135" s="130"/>
      <c r="M135" s="67">
        <f t="shared" si="32"/>
        <v>0</v>
      </c>
      <c r="N135" s="130"/>
      <c r="O135" s="67">
        <f t="shared" si="33"/>
        <v>0</v>
      </c>
      <c r="P135" s="67">
        <f t="shared" si="34"/>
        <v>0</v>
      </c>
    </row>
    <row r="136" spans="2:16">
      <c r="B136" t="str">
        <f t="shared" si="10"/>
        <v/>
      </c>
      <c r="C136" s="62">
        <f>IF(D94="","-",+C135+1)</f>
        <v>2058</v>
      </c>
      <c r="D136" s="648">
        <f>IF(F135+SUM(E$100:E135)=D$93,F135,D$93-SUM(E$100:E135))</f>
        <v>0</v>
      </c>
      <c r="E136" s="509">
        <f t="shared" si="25"/>
        <v>0</v>
      </c>
      <c r="F136" s="649">
        <f t="shared" si="26"/>
        <v>0</v>
      </c>
      <c r="G136" s="649">
        <f t="shared" si="27"/>
        <v>0</v>
      </c>
      <c r="H136" s="650">
        <f t="shared" si="28"/>
        <v>0</v>
      </c>
      <c r="I136" s="628">
        <f t="shared" si="29"/>
        <v>0</v>
      </c>
      <c r="J136" s="67">
        <f t="shared" si="31"/>
        <v>0</v>
      </c>
      <c r="K136" s="67"/>
      <c r="L136" s="130"/>
      <c r="M136" s="67">
        <f t="shared" si="32"/>
        <v>0</v>
      </c>
      <c r="N136" s="130"/>
      <c r="O136" s="67">
        <f t="shared" si="33"/>
        <v>0</v>
      </c>
      <c r="P136" s="67">
        <f t="shared" si="34"/>
        <v>0</v>
      </c>
    </row>
    <row r="137" spans="2:16">
      <c r="B137" t="str">
        <f t="shared" si="10"/>
        <v/>
      </c>
      <c r="C137" s="62">
        <f>IF(D94="","-",+C136+1)</f>
        <v>2059</v>
      </c>
      <c r="D137" s="648">
        <f>IF(F136+SUM(E$100:E136)=D$93,F136,D$93-SUM(E$100:E136))</f>
        <v>0</v>
      </c>
      <c r="E137" s="509">
        <f t="shared" si="25"/>
        <v>0</v>
      </c>
      <c r="F137" s="649">
        <f t="shared" si="26"/>
        <v>0</v>
      </c>
      <c r="G137" s="649">
        <f t="shared" si="27"/>
        <v>0</v>
      </c>
      <c r="H137" s="650">
        <f t="shared" si="28"/>
        <v>0</v>
      </c>
      <c r="I137" s="628">
        <f t="shared" si="29"/>
        <v>0</v>
      </c>
      <c r="J137" s="67">
        <f t="shared" si="31"/>
        <v>0</v>
      </c>
      <c r="K137" s="67"/>
      <c r="L137" s="130"/>
      <c r="M137" s="67">
        <f t="shared" si="32"/>
        <v>0</v>
      </c>
      <c r="N137" s="130"/>
      <c r="O137" s="67">
        <f t="shared" si="33"/>
        <v>0</v>
      </c>
      <c r="P137" s="67">
        <f t="shared" si="34"/>
        <v>0</v>
      </c>
    </row>
    <row r="138" spans="2:16">
      <c r="B138" t="str">
        <f t="shared" si="10"/>
        <v/>
      </c>
      <c r="C138" s="62">
        <f>IF(D94="","-",+C137+1)</f>
        <v>2060</v>
      </c>
      <c r="D138" s="648">
        <f>IF(F137+SUM(E$100:E137)=D$93,F137,D$93-SUM(E$100:E137))</f>
        <v>0</v>
      </c>
      <c r="E138" s="509">
        <f t="shared" si="25"/>
        <v>0</v>
      </c>
      <c r="F138" s="649">
        <f t="shared" si="26"/>
        <v>0</v>
      </c>
      <c r="G138" s="649">
        <f t="shared" si="27"/>
        <v>0</v>
      </c>
      <c r="H138" s="650">
        <f t="shared" si="28"/>
        <v>0</v>
      </c>
      <c r="I138" s="628">
        <f t="shared" si="29"/>
        <v>0</v>
      </c>
      <c r="J138" s="67">
        <f t="shared" si="31"/>
        <v>0</v>
      </c>
      <c r="K138" s="67"/>
      <c r="L138" s="130"/>
      <c r="M138" s="67">
        <f t="shared" si="32"/>
        <v>0</v>
      </c>
      <c r="N138" s="130"/>
      <c r="O138" s="67">
        <f t="shared" si="33"/>
        <v>0</v>
      </c>
      <c r="P138" s="67">
        <f t="shared" si="34"/>
        <v>0</v>
      </c>
    </row>
    <row r="139" spans="2:16">
      <c r="B139" t="str">
        <f t="shared" si="10"/>
        <v/>
      </c>
      <c r="C139" s="62">
        <f>IF(D94="","-",+C138+1)</f>
        <v>2061</v>
      </c>
      <c r="D139" s="648">
        <f>IF(F138+SUM(E$100:E138)=D$93,F138,D$93-SUM(E$100:E138))</f>
        <v>0</v>
      </c>
      <c r="E139" s="509">
        <f t="shared" si="25"/>
        <v>0</v>
      </c>
      <c r="F139" s="649">
        <f t="shared" si="26"/>
        <v>0</v>
      </c>
      <c r="G139" s="649">
        <f t="shared" si="27"/>
        <v>0</v>
      </c>
      <c r="H139" s="650">
        <f t="shared" si="28"/>
        <v>0</v>
      </c>
      <c r="I139" s="628">
        <f t="shared" si="29"/>
        <v>0</v>
      </c>
      <c r="J139" s="67">
        <f t="shared" si="31"/>
        <v>0</v>
      </c>
      <c r="K139" s="67"/>
      <c r="L139" s="130"/>
      <c r="M139" s="67">
        <f t="shared" si="32"/>
        <v>0</v>
      </c>
      <c r="N139" s="130"/>
      <c r="O139" s="67">
        <f t="shared" si="33"/>
        <v>0</v>
      </c>
      <c r="P139" s="67">
        <f t="shared" si="34"/>
        <v>0</v>
      </c>
    </row>
    <row r="140" spans="2:16">
      <c r="B140" t="str">
        <f t="shared" si="10"/>
        <v/>
      </c>
      <c r="C140" s="62">
        <f>IF(D94="","-",+C139+1)</f>
        <v>2062</v>
      </c>
      <c r="D140" s="648">
        <f>IF(F139+SUM(E$100:E139)=D$93,F139,D$93-SUM(E$100:E139))</f>
        <v>0</v>
      </c>
      <c r="E140" s="509">
        <f t="shared" si="25"/>
        <v>0</v>
      </c>
      <c r="F140" s="649">
        <f t="shared" si="26"/>
        <v>0</v>
      </c>
      <c r="G140" s="649">
        <f t="shared" si="27"/>
        <v>0</v>
      </c>
      <c r="H140" s="650">
        <f t="shared" si="28"/>
        <v>0</v>
      </c>
      <c r="I140" s="628">
        <f t="shared" si="29"/>
        <v>0</v>
      </c>
      <c r="J140" s="67">
        <f t="shared" si="31"/>
        <v>0</v>
      </c>
      <c r="K140" s="67"/>
      <c r="L140" s="130"/>
      <c r="M140" s="67">
        <f t="shared" si="32"/>
        <v>0</v>
      </c>
      <c r="N140" s="130"/>
      <c r="O140" s="67">
        <f t="shared" si="33"/>
        <v>0</v>
      </c>
      <c r="P140" s="67">
        <f t="shared" si="34"/>
        <v>0</v>
      </c>
    </row>
    <row r="141" spans="2:16">
      <c r="B141" t="str">
        <f t="shared" si="10"/>
        <v/>
      </c>
      <c r="C141" s="62">
        <f>IF(D94="","-",+C140+1)</f>
        <v>2063</v>
      </c>
      <c r="D141" s="648">
        <f>IF(F140+SUM(E$100:E140)=D$93,F140,D$93-SUM(E$100:E140))</f>
        <v>0</v>
      </c>
      <c r="E141" s="509">
        <f t="shared" si="25"/>
        <v>0</v>
      </c>
      <c r="F141" s="649">
        <f t="shared" si="26"/>
        <v>0</v>
      </c>
      <c r="G141" s="649">
        <f t="shared" si="27"/>
        <v>0</v>
      </c>
      <c r="H141" s="650">
        <f t="shared" si="28"/>
        <v>0</v>
      </c>
      <c r="I141" s="628">
        <f t="shared" si="29"/>
        <v>0</v>
      </c>
      <c r="J141" s="67">
        <f t="shared" si="31"/>
        <v>0</v>
      </c>
      <c r="K141" s="67"/>
      <c r="L141" s="130"/>
      <c r="M141" s="67">
        <f t="shared" si="32"/>
        <v>0</v>
      </c>
      <c r="N141" s="130"/>
      <c r="O141" s="67">
        <f t="shared" si="33"/>
        <v>0</v>
      </c>
      <c r="P141" s="67">
        <f t="shared" si="34"/>
        <v>0</v>
      </c>
    </row>
    <row r="142" spans="2:16">
      <c r="B142" t="str">
        <f t="shared" si="10"/>
        <v/>
      </c>
      <c r="C142" s="62">
        <f>IF(D94="","-",+C141+1)</f>
        <v>2064</v>
      </c>
      <c r="D142" s="648">
        <f>IF(F141+SUM(E$100:E141)=D$93,F141,D$93-SUM(E$100:E141))</f>
        <v>0</v>
      </c>
      <c r="E142" s="509">
        <f t="shared" si="25"/>
        <v>0</v>
      </c>
      <c r="F142" s="649">
        <f t="shared" si="26"/>
        <v>0</v>
      </c>
      <c r="G142" s="649">
        <f t="shared" si="27"/>
        <v>0</v>
      </c>
      <c r="H142" s="650">
        <f t="shared" si="28"/>
        <v>0</v>
      </c>
      <c r="I142" s="628">
        <f t="shared" si="29"/>
        <v>0</v>
      </c>
      <c r="J142" s="67">
        <f t="shared" si="31"/>
        <v>0</v>
      </c>
      <c r="K142" s="67"/>
      <c r="L142" s="130"/>
      <c r="M142" s="67">
        <f t="shared" si="32"/>
        <v>0</v>
      </c>
      <c r="N142" s="130"/>
      <c r="O142" s="67">
        <f t="shared" si="33"/>
        <v>0</v>
      </c>
      <c r="P142" s="67">
        <f t="shared" si="34"/>
        <v>0</v>
      </c>
    </row>
    <row r="143" spans="2:16">
      <c r="B143" t="str">
        <f t="shared" si="10"/>
        <v/>
      </c>
      <c r="C143" s="62">
        <f>IF(D94="","-",+C142+1)</f>
        <v>2065</v>
      </c>
      <c r="D143" s="648">
        <f>IF(F142+SUM(E$100:E142)=D$93,F142,D$93-SUM(E$100:E142))</f>
        <v>0</v>
      </c>
      <c r="E143" s="509">
        <f t="shared" si="25"/>
        <v>0</v>
      </c>
      <c r="F143" s="649">
        <f t="shared" si="26"/>
        <v>0</v>
      </c>
      <c r="G143" s="649">
        <f t="shared" si="27"/>
        <v>0</v>
      </c>
      <c r="H143" s="650">
        <f t="shared" si="28"/>
        <v>0</v>
      </c>
      <c r="I143" s="628">
        <f t="shared" si="29"/>
        <v>0</v>
      </c>
      <c r="J143" s="67">
        <f t="shared" si="31"/>
        <v>0</v>
      </c>
      <c r="K143" s="67"/>
      <c r="L143" s="130"/>
      <c r="M143" s="67">
        <f t="shared" si="32"/>
        <v>0</v>
      </c>
      <c r="N143" s="130"/>
      <c r="O143" s="67">
        <f t="shared" si="33"/>
        <v>0</v>
      </c>
      <c r="P143" s="67">
        <f t="shared" si="34"/>
        <v>0</v>
      </c>
    </row>
    <row r="144" spans="2:16">
      <c r="B144" t="str">
        <f t="shared" si="10"/>
        <v/>
      </c>
      <c r="C144" s="62">
        <f>IF(D94="","-",+C143+1)</f>
        <v>2066</v>
      </c>
      <c r="D144" s="648">
        <f>IF(F143+SUM(E$100:E143)=D$93,F143,D$93-SUM(E$100:E143))</f>
        <v>0</v>
      </c>
      <c r="E144" s="509">
        <f t="shared" si="25"/>
        <v>0</v>
      </c>
      <c r="F144" s="649">
        <f t="shared" si="26"/>
        <v>0</v>
      </c>
      <c r="G144" s="649">
        <f t="shared" si="27"/>
        <v>0</v>
      </c>
      <c r="H144" s="650">
        <f t="shared" si="28"/>
        <v>0</v>
      </c>
      <c r="I144" s="628">
        <f t="shared" si="29"/>
        <v>0</v>
      </c>
      <c r="J144" s="67">
        <f t="shared" si="31"/>
        <v>0</v>
      </c>
      <c r="K144" s="67"/>
      <c r="L144" s="130"/>
      <c r="M144" s="67">
        <f t="shared" si="32"/>
        <v>0</v>
      </c>
      <c r="N144" s="130"/>
      <c r="O144" s="67">
        <f t="shared" si="33"/>
        <v>0</v>
      </c>
      <c r="P144" s="67">
        <f t="shared" si="34"/>
        <v>0</v>
      </c>
    </row>
    <row r="145" spans="2:16">
      <c r="B145" t="str">
        <f t="shared" si="10"/>
        <v/>
      </c>
      <c r="C145" s="62">
        <f>IF(D94="","-",+C144+1)</f>
        <v>2067</v>
      </c>
      <c r="D145" s="648">
        <f>IF(F144+SUM(E$100:E144)=D$93,F144,D$93-SUM(E$100:E144))</f>
        <v>0</v>
      </c>
      <c r="E145" s="509">
        <f t="shared" si="25"/>
        <v>0</v>
      </c>
      <c r="F145" s="649">
        <f t="shared" si="26"/>
        <v>0</v>
      </c>
      <c r="G145" s="649">
        <f t="shared" si="27"/>
        <v>0</v>
      </c>
      <c r="H145" s="650">
        <f t="shared" si="28"/>
        <v>0</v>
      </c>
      <c r="I145" s="628">
        <f t="shared" si="29"/>
        <v>0</v>
      </c>
      <c r="J145" s="67">
        <f t="shared" si="31"/>
        <v>0</v>
      </c>
      <c r="K145" s="67"/>
      <c r="L145" s="130"/>
      <c r="M145" s="67">
        <f t="shared" si="32"/>
        <v>0</v>
      </c>
      <c r="N145" s="130"/>
      <c r="O145" s="67">
        <f t="shared" si="33"/>
        <v>0</v>
      </c>
      <c r="P145" s="67">
        <f t="shared" si="34"/>
        <v>0</v>
      </c>
    </row>
    <row r="146" spans="2:16">
      <c r="B146" t="str">
        <f t="shared" si="10"/>
        <v/>
      </c>
      <c r="C146" s="62">
        <f>IF(D94="","-",+C145+1)</f>
        <v>2068</v>
      </c>
      <c r="D146" s="648">
        <f>IF(F145+SUM(E$100:E145)=D$93,F145,D$93-SUM(E$100:E145))</f>
        <v>0</v>
      </c>
      <c r="E146" s="509">
        <f t="shared" si="25"/>
        <v>0</v>
      </c>
      <c r="F146" s="649">
        <f t="shared" si="26"/>
        <v>0</v>
      </c>
      <c r="G146" s="649">
        <f t="shared" si="27"/>
        <v>0</v>
      </c>
      <c r="H146" s="650">
        <f t="shared" si="28"/>
        <v>0</v>
      </c>
      <c r="I146" s="628">
        <f t="shared" si="29"/>
        <v>0</v>
      </c>
      <c r="J146" s="67">
        <f t="shared" si="31"/>
        <v>0</v>
      </c>
      <c r="K146" s="67"/>
      <c r="L146" s="130"/>
      <c r="M146" s="67">
        <f t="shared" si="32"/>
        <v>0</v>
      </c>
      <c r="N146" s="130"/>
      <c r="O146" s="67">
        <f t="shared" si="33"/>
        <v>0</v>
      </c>
      <c r="P146" s="67">
        <f t="shared" si="34"/>
        <v>0</v>
      </c>
    </row>
    <row r="147" spans="2:16">
      <c r="B147" t="str">
        <f t="shared" si="10"/>
        <v/>
      </c>
      <c r="C147" s="62">
        <f>IF(D94="","-",+C146+1)</f>
        <v>2069</v>
      </c>
      <c r="D147" s="648">
        <f>IF(F146+SUM(E$100:E146)=D$93,F146,D$93-SUM(E$100:E146))</f>
        <v>0</v>
      </c>
      <c r="E147" s="509">
        <f t="shared" si="25"/>
        <v>0</v>
      </c>
      <c r="F147" s="649">
        <f t="shared" si="26"/>
        <v>0</v>
      </c>
      <c r="G147" s="649">
        <f t="shared" si="27"/>
        <v>0</v>
      </c>
      <c r="H147" s="650">
        <f t="shared" si="28"/>
        <v>0</v>
      </c>
      <c r="I147" s="628">
        <f t="shared" si="29"/>
        <v>0</v>
      </c>
      <c r="J147" s="67">
        <f t="shared" si="31"/>
        <v>0</v>
      </c>
      <c r="K147" s="67"/>
      <c r="L147" s="130"/>
      <c r="M147" s="67">
        <f t="shared" si="32"/>
        <v>0</v>
      </c>
      <c r="N147" s="130"/>
      <c r="O147" s="67">
        <f t="shared" si="33"/>
        <v>0</v>
      </c>
      <c r="P147" s="67">
        <f t="shared" si="34"/>
        <v>0</v>
      </c>
    </row>
    <row r="148" spans="2:16">
      <c r="B148" t="str">
        <f t="shared" si="10"/>
        <v/>
      </c>
      <c r="C148" s="62">
        <f>IF(D94="","-",+C147+1)</f>
        <v>2070</v>
      </c>
      <c r="D148" s="648">
        <f>IF(F147+SUM(E$100:E147)=D$93,F147,D$93-SUM(E$100:E147))</f>
        <v>0</v>
      </c>
      <c r="E148" s="509">
        <f t="shared" si="25"/>
        <v>0</v>
      </c>
      <c r="F148" s="649">
        <f t="shared" si="26"/>
        <v>0</v>
      </c>
      <c r="G148" s="649">
        <f t="shared" si="27"/>
        <v>0</v>
      </c>
      <c r="H148" s="650">
        <f t="shared" si="28"/>
        <v>0</v>
      </c>
      <c r="I148" s="628">
        <f t="shared" si="29"/>
        <v>0</v>
      </c>
      <c r="J148" s="67">
        <f t="shared" si="31"/>
        <v>0</v>
      </c>
      <c r="K148" s="67"/>
      <c r="L148" s="130"/>
      <c r="M148" s="67">
        <f t="shared" si="32"/>
        <v>0</v>
      </c>
      <c r="N148" s="130"/>
      <c r="O148" s="67">
        <f t="shared" si="33"/>
        <v>0</v>
      </c>
      <c r="P148" s="67">
        <f t="shared" si="34"/>
        <v>0</v>
      </c>
    </row>
    <row r="149" spans="2:16">
      <c r="B149" t="str">
        <f t="shared" si="10"/>
        <v/>
      </c>
      <c r="C149" s="62">
        <f>IF(D94="","-",+C148+1)</f>
        <v>2071</v>
      </c>
      <c r="D149" s="648">
        <f>IF(F148+SUM(E$100:E148)=D$93,F148,D$93-SUM(E$100:E148))</f>
        <v>0</v>
      </c>
      <c r="E149" s="509">
        <f t="shared" si="25"/>
        <v>0</v>
      </c>
      <c r="F149" s="649">
        <f t="shared" si="26"/>
        <v>0</v>
      </c>
      <c r="G149" s="649">
        <f t="shared" si="27"/>
        <v>0</v>
      </c>
      <c r="H149" s="650">
        <f t="shared" si="28"/>
        <v>0</v>
      </c>
      <c r="I149" s="628">
        <f t="shared" si="29"/>
        <v>0</v>
      </c>
      <c r="J149" s="67">
        <f t="shared" si="31"/>
        <v>0</v>
      </c>
      <c r="K149" s="67"/>
      <c r="L149" s="130"/>
      <c r="M149" s="67">
        <f t="shared" si="32"/>
        <v>0</v>
      </c>
      <c r="N149" s="130"/>
      <c r="O149" s="67">
        <f t="shared" si="33"/>
        <v>0</v>
      </c>
      <c r="P149" s="67">
        <f t="shared" si="34"/>
        <v>0</v>
      </c>
    </row>
    <row r="150" spans="2:16">
      <c r="B150" t="str">
        <f t="shared" si="10"/>
        <v/>
      </c>
      <c r="C150" s="62">
        <f>IF(D94="","-",+C149+1)</f>
        <v>2072</v>
      </c>
      <c r="D150" s="648">
        <f>IF(F149+SUM(E$100:E149)=D$93,F149,D$93-SUM(E$100:E149))</f>
        <v>0</v>
      </c>
      <c r="E150" s="509">
        <f t="shared" si="25"/>
        <v>0</v>
      </c>
      <c r="F150" s="649">
        <f t="shared" si="26"/>
        <v>0</v>
      </c>
      <c r="G150" s="649">
        <f t="shared" si="27"/>
        <v>0</v>
      </c>
      <c r="H150" s="650">
        <f t="shared" si="28"/>
        <v>0</v>
      </c>
      <c r="I150" s="628">
        <f t="shared" si="29"/>
        <v>0</v>
      </c>
      <c r="J150" s="67">
        <f t="shared" si="31"/>
        <v>0</v>
      </c>
      <c r="K150" s="67"/>
      <c r="L150" s="130"/>
      <c r="M150" s="67">
        <f t="shared" si="32"/>
        <v>0</v>
      </c>
      <c r="N150" s="130"/>
      <c r="O150" s="67">
        <f t="shared" si="33"/>
        <v>0</v>
      </c>
      <c r="P150" s="67">
        <f t="shared" si="34"/>
        <v>0</v>
      </c>
    </row>
    <row r="151" spans="2:16">
      <c r="B151" t="str">
        <f t="shared" si="10"/>
        <v/>
      </c>
      <c r="C151" s="62">
        <f>IF(D94="","-",+C150+1)</f>
        <v>2073</v>
      </c>
      <c r="D151" s="648">
        <f>IF(F150+SUM(E$100:E150)=D$93,F150,D$93-SUM(E$100:E150))</f>
        <v>0</v>
      </c>
      <c r="E151" s="509">
        <f t="shared" si="25"/>
        <v>0</v>
      </c>
      <c r="F151" s="649">
        <f t="shared" si="26"/>
        <v>0</v>
      </c>
      <c r="G151" s="649">
        <f t="shared" si="27"/>
        <v>0</v>
      </c>
      <c r="H151" s="650">
        <f t="shared" si="28"/>
        <v>0</v>
      </c>
      <c r="I151" s="628">
        <f t="shared" si="29"/>
        <v>0</v>
      </c>
      <c r="J151" s="67">
        <f t="shared" si="31"/>
        <v>0</v>
      </c>
      <c r="K151" s="67"/>
      <c r="L151" s="130"/>
      <c r="M151" s="67">
        <f t="shared" si="32"/>
        <v>0</v>
      </c>
      <c r="N151" s="130"/>
      <c r="O151" s="67">
        <f t="shared" si="33"/>
        <v>0</v>
      </c>
      <c r="P151" s="67">
        <f t="shared" si="34"/>
        <v>0</v>
      </c>
    </row>
    <row r="152" spans="2:16">
      <c r="B152" t="str">
        <f t="shared" si="10"/>
        <v/>
      </c>
      <c r="C152" s="62">
        <f>IF(D94="","-",+C151+1)</f>
        <v>2074</v>
      </c>
      <c r="D152" s="648">
        <f>IF(F151+SUM(E$100:E151)=D$93,F151,D$93-SUM(E$100:E151))</f>
        <v>0</v>
      </c>
      <c r="E152" s="509">
        <f t="shared" si="25"/>
        <v>0</v>
      </c>
      <c r="F152" s="649">
        <f t="shared" si="26"/>
        <v>0</v>
      </c>
      <c r="G152" s="649">
        <f t="shared" si="27"/>
        <v>0</v>
      </c>
      <c r="H152" s="650">
        <f t="shared" si="28"/>
        <v>0</v>
      </c>
      <c r="I152" s="628">
        <f t="shared" si="29"/>
        <v>0</v>
      </c>
      <c r="J152" s="67">
        <f t="shared" si="31"/>
        <v>0</v>
      </c>
      <c r="K152" s="67"/>
      <c r="L152" s="130"/>
      <c r="M152" s="67">
        <f t="shared" si="32"/>
        <v>0</v>
      </c>
      <c r="N152" s="130"/>
      <c r="O152" s="67">
        <f t="shared" si="33"/>
        <v>0</v>
      </c>
      <c r="P152" s="67">
        <f t="shared" si="34"/>
        <v>0</v>
      </c>
    </row>
    <row r="153" spans="2:16">
      <c r="B153" t="str">
        <f t="shared" si="10"/>
        <v/>
      </c>
      <c r="C153" s="62">
        <f>IF(D94="","-",+C152+1)</f>
        <v>2075</v>
      </c>
      <c r="D153" s="648">
        <f>IF(F152+SUM(E$100:E152)=D$93,F152,D$93-SUM(E$100:E152))</f>
        <v>0</v>
      </c>
      <c r="E153" s="509">
        <f t="shared" si="25"/>
        <v>0</v>
      </c>
      <c r="F153" s="649">
        <f t="shared" si="26"/>
        <v>0</v>
      </c>
      <c r="G153" s="649">
        <f t="shared" si="27"/>
        <v>0</v>
      </c>
      <c r="H153" s="650">
        <f t="shared" si="28"/>
        <v>0</v>
      </c>
      <c r="I153" s="628">
        <f t="shared" si="29"/>
        <v>0</v>
      </c>
      <c r="J153" s="67">
        <f t="shared" si="31"/>
        <v>0</v>
      </c>
      <c r="K153" s="67"/>
      <c r="L153" s="130"/>
      <c r="M153" s="67">
        <f t="shared" si="32"/>
        <v>0</v>
      </c>
      <c r="N153" s="130"/>
      <c r="O153" s="67">
        <f t="shared" si="33"/>
        <v>0</v>
      </c>
      <c r="P153" s="67">
        <f t="shared" si="34"/>
        <v>0</v>
      </c>
    </row>
    <row r="154" spans="2:16">
      <c r="B154" t="str">
        <f t="shared" si="10"/>
        <v/>
      </c>
      <c r="C154" s="62">
        <f>IF(D94="","-",+C153+1)</f>
        <v>2076</v>
      </c>
      <c r="D154" s="648">
        <f>IF(F153+SUM(E$100:E153)=D$93,F153,D$93-SUM(E$100:E153))</f>
        <v>0</v>
      </c>
      <c r="E154" s="509">
        <f t="shared" si="25"/>
        <v>0</v>
      </c>
      <c r="F154" s="649">
        <f t="shared" si="26"/>
        <v>0</v>
      </c>
      <c r="G154" s="649">
        <f t="shared" si="27"/>
        <v>0</v>
      </c>
      <c r="H154" s="650">
        <f t="shared" si="28"/>
        <v>0</v>
      </c>
      <c r="I154" s="628">
        <f t="shared" si="29"/>
        <v>0</v>
      </c>
      <c r="J154" s="67">
        <f t="shared" si="31"/>
        <v>0</v>
      </c>
      <c r="K154" s="67"/>
      <c r="L154" s="130"/>
      <c r="M154" s="67">
        <f t="shared" si="32"/>
        <v>0</v>
      </c>
      <c r="N154" s="130"/>
      <c r="O154" s="67">
        <f t="shared" si="33"/>
        <v>0</v>
      </c>
      <c r="P154" s="67">
        <f t="shared" si="34"/>
        <v>0</v>
      </c>
    </row>
    <row r="155" spans="2:16" ht="13.5" thickBot="1">
      <c r="B155" t="str">
        <f t="shared" si="10"/>
        <v/>
      </c>
      <c r="C155" s="73">
        <f>IF(D94="","-",+C154+1)</f>
        <v>2077</v>
      </c>
      <c r="D155" s="651">
        <f>IF(F154+SUM(E$100:E154)=D$93,F154,D$93-SUM(E$100:E154))</f>
        <v>0</v>
      </c>
      <c r="E155" s="526">
        <f t="shared" si="25"/>
        <v>0</v>
      </c>
      <c r="F155" s="652">
        <f t="shared" si="26"/>
        <v>0</v>
      </c>
      <c r="G155" s="652">
        <f t="shared" si="27"/>
        <v>0</v>
      </c>
      <c r="H155" s="650">
        <f t="shared" si="28"/>
        <v>0</v>
      </c>
      <c r="I155" s="624">
        <f t="shared" si="29"/>
        <v>0</v>
      </c>
      <c r="J155" s="78">
        <f t="shared" si="31"/>
        <v>0</v>
      </c>
      <c r="K155" s="67"/>
      <c r="L155" s="131"/>
      <c r="M155" s="78">
        <f t="shared" si="32"/>
        <v>0</v>
      </c>
      <c r="N155" s="131"/>
      <c r="O155" s="78">
        <f t="shared" si="33"/>
        <v>0</v>
      </c>
      <c r="P155" s="78">
        <f t="shared" si="34"/>
        <v>0</v>
      </c>
    </row>
    <row r="156" spans="2:16">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c r="C157" t="s">
        <v>90</v>
      </c>
      <c r="D157" s="2"/>
      <c r="E157" s="1"/>
      <c r="F157" s="1"/>
      <c r="G157" s="1"/>
      <c r="H157" s="1"/>
      <c r="I157" s="3"/>
      <c r="J157" s="3"/>
      <c r="K157" s="19"/>
      <c r="L157" s="3"/>
      <c r="M157" s="3"/>
      <c r="N157" s="3"/>
      <c r="O157" s="3"/>
      <c r="P157" s="1"/>
    </row>
    <row r="158" spans="2:16">
      <c r="C158" s="100"/>
      <c r="D158" s="2"/>
      <c r="E158" s="1"/>
      <c r="F158" s="1"/>
      <c r="G158" s="1"/>
      <c r="H158" s="1"/>
      <c r="I158" s="3"/>
      <c r="J158" s="3"/>
      <c r="K158" s="19"/>
      <c r="L158" s="3"/>
      <c r="M158" s="3"/>
      <c r="N158" s="3"/>
      <c r="O158" s="3"/>
      <c r="P158" s="1"/>
    </row>
    <row r="159" spans="2:16">
      <c r="C159" s="115" t="s">
        <v>130</v>
      </c>
      <c r="D159" s="2"/>
      <c r="E159" s="1"/>
      <c r="F159" s="1"/>
      <c r="G159" s="1"/>
      <c r="H159" s="1"/>
      <c r="I159" s="3"/>
      <c r="J159" s="3"/>
      <c r="K159" s="19"/>
      <c r="L159" s="3"/>
      <c r="M159" s="3"/>
      <c r="N159" s="3"/>
      <c r="O159" s="3"/>
      <c r="P159" s="1"/>
    </row>
    <row r="160" spans="2:16">
      <c r="C160" s="31" t="s">
        <v>76</v>
      </c>
      <c r="D160" s="63"/>
      <c r="E160" s="63"/>
      <c r="F160" s="63"/>
      <c r="G160" s="63"/>
      <c r="H160" s="19"/>
      <c r="I160" s="19"/>
      <c r="J160" s="80"/>
      <c r="K160" s="80"/>
      <c r="L160" s="80"/>
      <c r="M160" s="80"/>
      <c r="N160" s="80"/>
      <c r="O160" s="80"/>
      <c r="P160" s="1"/>
    </row>
    <row r="161" spans="3:16">
      <c r="C161" s="101" t="s">
        <v>77</v>
      </c>
      <c r="D161" s="63"/>
      <c r="E161" s="63"/>
      <c r="F161" s="63"/>
      <c r="G161" s="63"/>
      <c r="H161" s="19"/>
      <c r="I161" s="19"/>
      <c r="J161" s="80"/>
      <c r="K161" s="80"/>
      <c r="L161" s="80"/>
      <c r="M161" s="80"/>
      <c r="N161" s="80"/>
      <c r="O161" s="80"/>
      <c r="P161" s="1"/>
    </row>
    <row r="162" spans="3:16">
      <c r="C162" s="101"/>
      <c r="D162" s="63"/>
      <c r="E162" s="63"/>
      <c r="F162" s="63"/>
      <c r="G162" s="63"/>
      <c r="H162" s="19"/>
      <c r="I162" s="19"/>
      <c r="J162" s="80"/>
      <c r="K162" s="80"/>
      <c r="L162" s="80"/>
      <c r="M162" s="80"/>
      <c r="N162" s="80"/>
      <c r="O162" s="80"/>
      <c r="P162" s="1"/>
    </row>
    <row r="163" spans="3:16" ht="18">
      <c r="C163" s="101"/>
      <c r="D163" s="63"/>
      <c r="E163" s="63"/>
      <c r="F163" s="63"/>
      <c r="G163" s="63"/>
      <c r="H163" s="19"/>
      <c r="I163" s="19"/>
      <c r="J163" s="80"/>
      <c r="K163" s="80"/>
      <c r="L163" s="80"/>
      <c r="M163" s="80"/>
      <c r="N163" s="80"/>
      <c r="P163" s="112" t="s">
        <v>129</v>
      </c>
    </row>
  </sheetData>
  <conditionalFormatting sqref="C17:C71 C73">
    <cfRule type="cellIs" dxfId="11" priority="2" stopIfTrue="1" operator="equal">
      <formula>$I$10</formula>
    </cfRule>
  </conditionalFormatting>
  <conditionalFormatting sqref="C100:C155">
    <cfRule type="cellIs" dxfId="10" priority="3" stopIfTrue="1" operator="equal">
      <formula>$J$93</formula>
    </cfRule>
  </conditionalFormatting>
  <conditionalFormatting sqref="C72">
    <cfRule type="cellIs" dxfId="9" priority="1" stopIfTrue="1" operator="equal">
      <formula>$I$10</formula>
    </cfRule>
  </conditionalFormatting>
  <pageMargins left="0.5" right="0.25" top="1" bottom="0.5" header="0.25" footer="0.5"/>
  <pageSetup scale="47" orientation="landscape" r:id="rId1"/>
  <headerFooter>
    <oddHeader xml:space="preserve">&amp;R&amp;18AEPTCo - SPP Formula Rate
&amp;A TCOS - Worksheets F and G
Section IV -- (BPU Project Tables)
Page: &amp;P of &amp;N
</oddHeader>
    <oddFooter>&amp;L&amp;A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topLeftCell="A134" zoomScale="80" zoomScaleNormal="80" workbookViewId="0"/>
  </sheetViews>
  <sheetFormatPr defaultRowHeight="12.75"/>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110" t="s">
        <v>189</v>
      </c>
      <c r="B1" s="1"/>
      <c r="C1" s="9"/>
      <c r="D1" s="2"/>
      <c r="E1" s="1"/>
      <c r="F1" s="14"/>
      <c r="G1" s="1"/>
      <c r="H1" s="3"/>
      <c r="J1" s="7"/>
      <c r="K1" s="18"/>
      <c r="L1" s="18"/>
      <c r="M1" s="18"/>
      <c r="P1" s="116" t="str">
        <f ca="1">"OKT Project "&amp;RIGHT(MID(CELL("filename",$A$1),FIND("]",CELL("filename",$A$1))+1,256),2)&amp;" of "&amp;COUNT('OKT.001:OKT.xyz - blank'!$P$3)-1</f>
        <v>OKT Project 22 of 23</v>
      </c>
    </row>
    <row r="2" spans="1:16" ht="18">
      <c r="B2" s="1"/>
      <c r="C2" s="1"/>
      <c r="D2" s="2"/>
      <c r="E2" s="1"/>
      <c r="F2" s="1"/>
      <c r="G2" s="1"/>
      <c r="H2" s="3"/>
      <c r="I2" s="1"/>
      <c r="J2" s="4"/>
      <c r="K2" s="1"/>
      <c r="L2" s="1"/>
      <c r="M2" s="1"/>
      <c r="N2" s="1"/>
      <c r="P2" s="117" t="s">
        <v>131</v>
      </c>
    </row>
    <row r="3" spans="1:16" ht="18.75">
      <c r="B3" s="5" t="s">
        <v>42</v>
      </c>
      <c r="C3" s="13" t="s">
        <v>43</v>
      </c>
      <c r="D3" s="2"/>
      <c r="E3" s="1"/>
      <c r="F3" s="1"/>
      <c r="G3" s="1"/>
      <c r="H3" s="3"/>
      <c r="I3" s="3"/>
      <c r="J3" s="19"/>
      <c r="K3" s="3"/>
      <c r="L3" s="3"/>
      <c r="M3" s="3"/>
      <c r="N3" s="3"/>
      <c r="O3" s="1"/>
      <c r="P3" s="108">
        <v>1</v>
      </c>
    </row>
    <row r="4" spans="1:16" ht="15.75" thickBot="1">
      <c r="C4" s="12"/>
      <c r="D4" s="2"/>
      <c r="E4" s="1"/>
      <c r="F4" s="1"/>
      <c r="G4" s="1"/>
      <c r="H4" s="3"/>
      <c r="I4" s="3"/>
      <c r="J4" s="19"/>
      <c r="K4" s="3"/>
      <c r="L4" s="3"/>
      <c r="M4" s="3"/>
      <c r="N4" s="3"/>
      <c r="O4" s="1"/>
      <c r="P4" s="1"/>
    </row>
    <row r="5" spans="1:16" ht="15">
      <c r="C5" s="20" t="s">
        <v>44</v>
      </c>
      <c r="D5" s="2"/>
      <c r="E5" s="1"/>
      <c r="F5" s="1"/>
      <c r="G5" s="21"/>
      <c r="H5" s="1" t="s">
        <v>45</v>
      </c>
      <c r="I5" s="1"/>
      <c r="J5" s="4"/>
      <c r="K5" s="22" t="s">
        <v>242</v>
      </c>
      <c r="L5" s="23"/>
      <c r="M5" s="24"/>
      <c r="N5" s="25">
        <f>VLOOKUP(I10,C17:I73,5)</f>
        <v>375963.61969540955</v>
      </c>
      <c r="P5" s="1"/>
    </row>
    <row r="6" spans="1:16" ht="15.75">
      <c r="C6" s="8"/>
      <c r="D6" s="2"/>
      <c r="E6" s="1"/>
      <c r="F6" s="1"/>
      <c r="G6" s="1"/>
      <c r="H6" s="26"/>
      <c r="I6" s="26"/>
      <c r="J6" s="27"/>
      <c r="K6" s="28" t="s">
        <v>243</v>
      </c>
      <c r="L6" s="29"/>
      <c r="M6" s="4"/>
      <c r="N6" s="30">
        <f>VLOOKUP(I10,C17:I73,6)</f>
        <v>375963.61969540955</v>
      </c>
      <c r="O6" s="1"/>
      <c r="P6" s="1"/>
    </row>
    <row r="7" spans="1:16" ht="13.5" thickBot="1">
      <c r="C7" s="31" t="s">
        <v>46</v>
      </c>
      <c r="D7" s="637" t="s">
        <v>318</v>
      </c>
      <c r="E7" s="1"/>
      <c r="F7" s="1"/>
      <c r="G7" s="1"/>
      <c r="H7" s="3"/>
      <c r="I7" s="3"/>
      <c r="J7" s="19"/>
      <c r="K7" s="32" t="s">
        <v>47</v>
      </c>
      <c r="L7" s="33"/>
      <c r="M7" s="33"/>
      <c r="N7" s="34">
        <f>+N6-N5</f>
        <v>0</v>
      </c>
      <c r="O7" s="1"/>
      <c r="P7" s="1"/>
    </row>
    <row r="8" spans="1:16" ht="13.5" thickBot="1">
      <c r="C8" s="35"/>
      <c r="D8" s="114"/>
      <c r="E8" s="36"/>
      <c r="F8" s="36"/>
      <c r="G8" s="36"/>
      <c r="H8" s="36"/>
      <c r="I8" s="36"/>
      <c r="J8" s="15"/>
      <c r="K8" s="36"/>
      <c r="L8" s="36"/>
      <c r="M8" s="36"/>
      <c r="N8" s="36"/>
      <c r="O8" s="15"/>
      <c r="P8" s="9"/>
    </row>
    <row r="9" spans="1:16" ht="13.5" thickBot="1">
      <c r="C9" s="37" t="s">
        <v>48</v>
      </c>
      <c r="D9" s="106" t="s">
        <v>319</v>
      </c>
      <c r="E9" s="647" t="s">
        <v>293</v>
      </c>
      <c r="F9" s="38"/>
      <c r="G9" s="38"/>
      <c r="H9" s="38"/>
      <c r="I9" s="39"/>
      <c r="J9" s="40"/>
      <c r="O9" s="41"/>
      <c r="P9" s="4"/>
    </row>
    <row r="10" spans="1:16">
      <c r="C10" s="42" t="s">
        <v>49</v>
      </c>
      <c r="D10" s="43">
        <v>6050258</v>
      </c>
      <c r="E10" s="11" t="s">
        <v>50</v>
      </c>
      <c r="F10" s="41"/>
      <c r="G10" s="44"/>
      <c r="H10" s="44"/>
      <c r="I10" s="45">
        <f>+OKT.WS.F.BPU.ATRR.Projected!R101</f>
        <v>2022</v>
      </c>
      <c r="J10" s="40"/>
      <c r="K10" s="19" t="s">
        <v>51</v>
      </c>
      <c r="O10" s="4"/>
      <c r="P10" s="4"/>
    </row>
    <row r="11" spans="1:16">
      <c r="C11" s="46" t="s">
        <v>52</v>
      </c>
      <c r="D11" s="47">
        <v>2022</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c r="C12" s="46" t="s">
        <v>54</v>
      </c>
      <c r="D12" s="43">
        <v>10</v>
      </c>
      <c r="E12" s="46" t="s">
        <v>55</v>
      </c>
      <c r="F12" s="44"/>
      <c r="G12" s="7"/>
      <c r="H12" s="7"/>
      <c r="I12" s="50">
        <f>OKT.WS.F.BPU.ATRR.Projected!$F$79</f>
        <v>0.11475877389767174</v>
      </c>
      <c r="J12" s="51"/>
      <c r="K12" t="s">
        <v>56</v>
      </c>
      <c r="O12" s="4"/>
      <c r="P12" s="4"/>
    </row>
    <row r="13" spans="1:16">
      <c r="C13" s="46" t="s">
        <v>57</v>
      </c>
      <c r="D13" s="48">
        <f>+OKT.WS.F.BPU.ATRR.Projected!F$90</f>
        <v>33</v>
      </c>
      <c r="E13" s="46" t="s">
        <v>58</v>
      </c>
      <c r="F13" s="44"/>
      <c r="G13" s="7"/>
      <c r="H13" s="7"/>
      <c r="I13" s="50">
        <f>IF(G5="",I12,OKT.WS.F.BPU.ATRR.Projected!$F$78)</f>
        <v>0.11475877389767174</v>
      </c>
      <c r="J13" s="51"/>
      <c r="K13" s="19" t="s">
        <v>59</v>
      </c>
      <c r="L13" s="10"/>
      <c r="M13" s="10"/>
      <c r="N13" s="10"/>
      <c r="O13" s="4"/>
      <c r="P13" s="4"/>
    </row>
    <row r="14" spans="1:16" ht="13.5" thickBot="1">
      <c r="C14" s="46" t="s">
        <v>60</v>
      </c>
      <c r="D14" s="47" t="s">
        <v>61</v>
      </c>
      <c r="E14" s="4" t="s">
        <v>62</v>
      </c>
      <c r="F14" s="44"/>
      <c r="G14" s="7"/>
      <c r="H14" s="7"/>
      <c r="I14" s="52">
        <f>IF(D10=0,0,D10/D13)</f>
        <v>183341.15151515152</v>
      </c>
      <c r="J14" s="19"/>
      <c r="K14" s="19"/>
      <c r="L14" s="19"/>
      <c r="M14" s="19"/>
      <c r="N14" s="19"/>
      <c r="O14" s="4"/>
      <c r="P14" s="4"/>
    </row>
    <row r="15" spans="1:16" ht="38.25">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c r="B17" t="str">
        <f t="shared" ref="B17:B71" si="0">IF(D17=F16,"","IU")</f>
        <v>IU</v>
      </c>
      <c r="C17" s="62">
        <f>IF(D11= "","-",D11)</f>
        <v>2022</v>
      </c>
      <c r="D17" s="63">
        <v>0</v>
      </c>
      <c r="E17" s="64">
        <f>IF(D10&gt;=100000,I$14/12*(12-D12),0)</f>
        <v>30556.858585858587</v>
      </c>
      <c r="F17" s="68">
        <f>IF(D11=C17,+D10-E17,+D17-E17)</f>
        <v>6019701.1414141413</v>
      </c>
      <c r="G17" s="64">
        <f>(D17+F17)/2*I$12+E17</f>
        <v>375963.61969540955</v>
      </c>
      <c r="H17" s="52">
        <f>+(D17+F17)/2*I$13+E17</f>
        <v>375963.61969540955</v>
      </c>
      <c r="I17" s="65">
        <f t="shared" ref="I17:I71" si="1">H17-G17</f>
        <v>0</v>
      </c>
      <c r="J17" s="65"/>
      <c r="K17" s="132"/>
      <c r="L17" s="66">
        <f t="shared" ref="L17" si="2">IF(K17&lt;&gt;0,+G17-K17,0)</f>
        <v>0</v>
      </c>
      <c r="M17" s="132"/>
      <c r="N17" s="66">
        <f t="shared" ref="N17:N71" si="3">IF(M17&lt;&gt;0,+H17-M17,0)</f>
        <v>0</v>
      </c>
      <c r="O17" s="67">
        <f t="shared" ref="O17:O71" si="4">+N17-L17</f>
        <v>0</v>
      </c>
      <c r="P17" s="4"/>
    </row>
    <row r="18" spans="2:16">
      <c r="B18" t="str">
        <f t="shared" si="0"/>
        <v/>
      </c>
      <c r="C18" s="62">
        <f>IF(D11="","-",+C17+1)</f>
        <v>2023</v>
      </c>
      <c r="D18" s="71">
        <f>IF(F17+SUM(E$17:E17)=D$10,F17,D$10-SUM(E$17:E17))</f>
        <v>6019701.1414141413</v>
      </c>
      <c r="E18" s="69">
        <f t="shared" ref="E18:E71" si="5">IF(+I$14&lt;F17,I$14,D18)</f>
        <v>183341.15151515152</v>
      </c>
      <c r="F18" s="68">
        <f t="shared" ref="F18:F71" si="6">+D18-E18</f>
        <v>5836359.9898989899</v>
      </c>
      <c r="G18" s="70">
        <f t="shared" ref="G18:G71" si="7">(D18+F18)/2*I$12+E18</f>
        <v>863634.67085782031</v>
      </c>
      <c r="H18" s="52">
        <f t="shared" ref="H18:H71" si="8">+(D18+F18)/2*I$13+E18</f>
        <v>863634.67085782031</v>
      </c>
      <c r="I18" s="65">
        <f t="shared" si="1"/>
        <v>0</v>
      </c>
      <c r="J18" s="65"/>
      <c r="K18" s="130"/>
      <c r="L18" s="67">
        <f t="shared" ref="L18:L71" si="9">IF(K18&lt;&gt;0,+G18-K18,0)</f>
        <v>0</v>
      </c>
      <c r="M18" s="130"/>
      <c r="N18" s="67">
        <f t="shared" si="3"/>
        <v>0</v>
      </c>
      <c r="O18" s="67">
        <f t="shared" si="4"/>
        <v>0</v>
      </c>
      <c r="P18" s="4"/>
    </row>
    <row r="19" spans="2:16">
      <c r="B19" t="str">
        <f t="shared" si="0"/>
        <v/>
      </c>
      <c r="C19" s="62">
        <f>IF(D11="","-",+C18+1)</f>
        <v>2024</v>
      </c>
      <c r="D19" s="71">
        <f>IF(F18+SUM(E$17:E18)=D$10,F18,D$10-SUM(E$17:E18))</f>
        <v>5836359.9898989899</v>
      </c>
      <c r="E19" s="69">
        <f t="shared" si="5"/>
        <v>183341.15151515152</v>
      </c>
      <c r="F19" s="68">
        <f t="shared" si="6"/>
        <v>5653018.8383838385</v>
      </c>
      <c r="G19" s="70">
        <f t="shared" si="7"/>
        <v>842594.66510495439</v>
      </c>
      <c r="H19" s="52">
        <f t="shared" si="8"/>
        <v>842594.66510495439</v>
      </c>
      <c r="I19" s="65">
        <f t="shared" si="1"/>
        <v>0</v>
      </c>
      <c r="J19" s="65"/>
      <c r="K19" s="130"/>
      <c r="L19" s="67">
        <f t="shared" si="9"/>
        <v>0</v>
      </c>
      <c r="M19" s="130"/>
      <c r="N19" s="67">
        <f t="shared" si="3"/>
        <v>0</v>
      </c>
      <c r="O19" s="67">
        <f t="shared" si="4"/>
        <v>0</v>
      </c>
      <c r="P19" s="4"/>
    </row>
    <row r="20" spans="2:16">
      <c r="B20" t="str">
        <f t="shared" si="0"/>
        <v/>
      </c>
      <c r="C20" s="62">
        <f>IF(D11="","-",+C19+1)</f>
        <v>2025</v>
      </c>
      <c r="D20" s="71">
        <f>IF(F19+SUM(E$17:E19)=D$10,F19,D$10-SUM(E$17:E19))</f>
        <v>5653018.8383838385</v>
      </c>
      <c r="E20" s="69">
        <f t="shared" si="5"/>
        <v>183341.15151515152</v>
      </c>
      <c r="F20" s="68">
        <f t="shared" si="6"/>
        <v>5469677.6868686872</v>
      </c>
      <c r="G20" s="70">
        <f t="shared" si="7"/>
        <v>821554.65935208823</v>
      </c>
      <c r="H20" s="52">
        <f t="shared" si="8"/>
        <v>821554.65935208823</v>
      </c>
      <c r="I20" s="65">
        <f t="shared" si="1"/>
        <v>0</v>
      </c>
      <c r="J20" s="65"/>
      <c r="K20" s="130"/>
      <c r="L20" s="67">
        <f t="shared" si="9"/>
        <v>0</v>
      </c>
      <c r="M20" s="130"/>
      <c r="N20" s="67">
        <f t="shared" si="3"/>
        <v>0</v>
      </c>
      <c r="O20" s="67">
        <f t="shared" si="4"/>
        <v>0</v>
      </c>
      <c r="P20" s="4"/>
    </row>
    <row r="21" spans="2:16">
      <c r="B21" t="str">
        <f t="shared" si="0"/>
        <v/>
      </c>
      <c r="C21" s="62">
        <f>IF(D11="","-",+C20+1)</f>
        <v>2026</v>
      </c>
      <c r="D21" s="71">
        <f>IF(F20+SUM(E$17:E20)=D$10,F20,D$10-SUM(E$17:E20))</f>
        <v>5469677.6868686872</v>
      </c>
      <c r="E21" s="69">
        <f t="shared" si="5"/>
        <v>183341.15151515152</v>
      </c>
      <c r="F21" s="68">
        <f t="shared" si="6"/>
        <v>5286336.5353535358</v>
      </c>
      <c r="G21" s="70">
        <f t="shared" si="7"/>
        <v>800514.65359922231</v>
      </c>
      <c r="H21" s="52">
        <f t="shared" si="8"/>
        <v>800514.65359922231</v>
      </c>
      <c r="I21" s="65">
        <f t="shared" si="1"/>
        <v>0</v>
      </c>
      <c r="J21" s="65"/>
      <c r="K21" s="130"/>
      <c r="L21" s="67">
        <f t="shared" si="9"/>
        <v>0</v>
      </c>
      <c r="M21" s="130"/>
      <c r="N21" s="67">
        <f t="shared" si="3"/>
        <v>0</v>
      </c>
      <c r="O21" s="67">
        <f t="shared" si="4"/>
        <v>0</v>
      </c>
      <c r="P21" s="4"/>
    </row>
    <row r="22" spans="2:16">
      <c r="B22" t="str">
        <f t="shared" si="0"/>
        <v/>
      </c>
      <c r="C22" s="62">
        <f>IF(D11="","-",+C21+1)</f>
        <v>2027</v>
      </c>
      <c r="D22" s="71">
        <f>IF(F21+SUM(E$17:E21)=D$10,F21,D$10-SUM(E$17:E21))</f>
        <v>5286336.5353535358</v>
      </c>
      <c r="E22" s="69">
        <f t="shared" si="5"/>
        <v>183341.15151515152</v>
      </c>
      <c r="F22" s="68">
        <f t="shared" si="6"/>
        <v>5102995.3838383844</v>
      </c>
      <c r="G22" s="70">
        <f t="shared" si="7"/>
        <v>779474.64784635615</v>
      </c>
      <c r="H22" s="52">
        <f t="shared" si="8"/>
        <v>779474.64784635615</v>
      </c>
      <c r="I22" s="65">
        <f t="shared" si="1"/>
        <v>0</v>
      </c>
      <c r="J22" s="65"/>
      <c r="K22" s="130"/>
      <c r="L22" s="67">
        <f t="shared" si="9"/>
        <v>0</v>
      </c>
      <c r="M22" s="130"/>
      <c r="N22" s="67">
        <f t="shared" si="3"/>
        <v>0</v>
      </c>
      <c r="O22" s="67">
        <f t="shared" si="4"/>
        <v>0</v>
      </c>
      <c r="P22" s="4"/>
    </row>
    <row r="23" spans="2:16">
      <c r="B23" t="str">
        <f t="shared" si="0"/>
        <v/>
      </c>
      <c r="C23" s="62">
        <f>IF(D11="","-",+C22+1)</f>
        <v>2028</v>
      </c>
      <c r="D23" s="71">
        <f>IF(F22+SUM(E$17:E22)=D$10,F22,D$10-SUM(E$17:E22))</f>
        <v>5102995.3838383844</v>
      </c>
      <c r="E23" s="69">
        <f t="shared" si="5"/>
        <v>183341.15151515152</v>
      </c>
      <c r="F23" s="68">
        <f t="shared" si="6"/>
        <v>4919654.232323233</v>
      </c>
      <c r="G23" s="70">
        <f t="shared" si="7"/>
        <v>758434.64209349023</v>
      </c>
      <c r="H23" s="52">
        <f t="shared" si="8"/>
        <v>758434.64209349023</v>
      </c>
      <c r="I23" s="65">
        <f t="shared" si="1"/>
        <v>0</v>
      </c>
      <c r="J23" s="65"/>
      <c r="K23" s="130"/>
      <c r="L23" s="67">
        <f t="shared" si="9"/>
        <v>0</v>
      </c>
      <c r="M23" s="130"/>
      <c r="N23" s="67">
        <f t="shared" si="3"/>
        <v>0</v>
      </c>
      <c r="O23" s="67">
        <f t="shared" si="4"/>
        <v>0</v>
      </c>
      <c r="P23" s="4"/>
    </row>
    <row r="24" spans="2:16">
      <c r="B24" t="str">
        <f t="shared" si="0"/>
        <v/>
      </c>
      <c r="C24" s="62">
        <f>IF(D11="","-",+C23+1)</f>
        <v>2029</v>
      </c>
      <c r="D24" s="71">
        <f>IF(F23+SUM(E$17:E23)=D$10,F23,D$10-SUM(E$17:E23))</f>
        <v>4919654.232323233</v>
      </c>
      <c r="E24" s="69">
        <f t="shared" si="5"/>
        <v>183341.15151515152</v>
      </c>
      <c r="F24" s="68">
        <f t="shared" si="6"/>
        <v>4736313.0808080817</v>
      </c>
      <c r="G24" s="70">
        <f t="shared" si="7"/>
        <v>737394.63634062419</v>
      </c>
      <c r="H24" s="52">
        <f t="shared" si="8"/>
        <v>737394.63634062419</v>
      </c>
      <c r="I24" s="65">
        <f t="shared" si="1"/>
        <v>0</v>
      </c>
      <c r="J24" s="65"/>
      <c r="K24" s="130"/>
      <c r="L24" s="67">
        <f t="shared" si="9"/>
        <v>0</v>
      </c>
      <c r="M24" s="130"/>
      <c r="N24" s="67">
        <f t="shared" si="3"/>
        <v>0</v>
      </c>
      <c r="O24" s="67">
        <f t="shared" si="4"/>
        <v>0</v>
      </c>
      <c r="P24" s="4"/>
    </row>
    <row r="25" spans="2:16">
      <c r="B25" t="str">
        <f t="shared" si="0"/>
        <v/>
      </c>
      <c r="C25" s="62">
        <f>IF(D11="","-",+C24+1)</f>
        <v>2030</v>
      </c>
      <c r="D25" s="71">
        <f>IF(F24+SUM(E$17:E24)=D$10,F24,D$10-SUM(E$17:E24))</f>
        <v>4736313.0808080817</v>
      </c>
      <c r="E25" s="69">
        <f t="shared" si="5"/>
        <v>183341.15151515152</v>
      </c>
      <c r="F25" s="68">
        <f t="shared" si="6"/>
        <v>4552971.9292929303</v>
      </c>
      <c r="G25" s="70">
        <f t="shared" si="7"/>
        <v>716354.63058775826</v>
      </c>
      <c r="H25" s="52">
        <f t="shared" si="8"/>
        <v>716354.63058775826</v>
      </c>
      <c r="I25" s="65">
        <f t="shared" si="1"/>
        <v>0</v>
      </c>
      <c r="J25" s="65"/>
      <c r="K25" s="130"/>
      <c r="L25" s="67">
        <f t="shared" si="9"/>
        <v>0</v>
      </c>
      <c r="M25" s="130"/>
      <c r="N25" s="67">
        <f t="shared" si="3"/>
        <v>0</v>
      </c>
      <c r="O25" s="67">
        <f t="shared" si="4"/>
        <v>0</v>
      </c>
      <c r="P25" s="4"/>
    </row>
    <row r="26" spans="2:16">
      <c r="B26" t="str">
        <f t="shared" si="0"/>
        <v/>
      </c>
      <c r="C26" s="62">
        <f>IF(D11="","-",+C25+1)</f>
        <v>2031</v>
      </c>
      <c r="D26" s="71">
        <f>IF(F25+SUM(E$17:E25)=D$10,F25,D$10-SUM(E$17:E25))</f>
        <v>4552971.9292929303</v>
      </c>
      <c r="E26" s="69">
        <f t="shared" si="5"/>
        <v>183341.15151515152</v>
      </c>
      <c r="F26" s="68">
        <f t="shared" si="6"/>
        <v>4369630.7777777789</v>
      </c>
      <c r="G26" s="70">
        <f t="shared" si="7"/>
        <v>695314.62483489211</v>
      </c>
      <c r="H26" s="52">
        <f t="shared" si="8"/>
        <v>695314.62483489211</v>
      </c>
      <c r="I26" s="65">
        <f t="shared" si="1"/>
        <v>0</v>
      </c>
      <c r="J26" s="65"/>
      <c r="K26" s="130"/>
      <c r="L26" s="67">
        <f t="shared" si="9"/>
        <v>0</v>
      </c>
      <c r="M26" s="130"/>
      <c r="N26" s="67">
        <f t="shared" si="3"/>
        <v>0</v>
      </c>
      <c r="O26" s="67">
        <f t="shared" si="4"/>
        <v>0</v>
      </c>
      <c r="P26" s="4"/>
    </row>
    <row r="27" spans="2:16">
      <c r="B27" t="str">
        <f t="shared" si="0"/>
        <v/>
      </c>
      <c r="C27" s="62">
        <f>IF(D11="","-",+C26+1)</f>
        <v>2032</v>
      </c>
      <c r="D27" s="71">
        <f>IF(F26+SUM(E$17:E26)=D$10,F26,D$10-SUM(E$17:E26))</f>
        <v>4369630.7777777789</v>
      </c>
      <c r="E27" s="69">
        <f t="shared" si="5"/>
        <v>183341.15151515152</v>
      </c>
      <c r="F27" s="68">
        <f t="shared" si="6"/>
        <v>4186289.6262626275</v>
      </c>
      <c r="G27" s="70">
        <f t="shared" si="7"/>
        <v>674274.61908202618</v>
      </c>
      <c r="H27" s="52">
        <f t="shared" si="8"/>
        <v>674274.61908202618</v>
      </c>
      <c r="I27" s="65">
        <f t="shared" si="1"/>
        <v>0</v>
      </c>
      <c r="J27" s="65"/>
      <c r="K27" s="130"/>
      <c r="L27" s="67">
        <f t="shared" si="9"/>
        <v>0</v>
      </c>
      <c r="M27" s="130"/>
      <c r="N27" s="67">
        <f t="shared" si="3"/>
        <v>0</v>
      </c>
      <c r="O27" s="67">
        <f t="shared" si="4"/>
        <v>0</v>
      </c>
      <c r="P27" s="4"/>
    </row>
    <row r="28" spans="2:16">
      <c r="B28" t="str">
        <f t="shared" si="0"/>
        <v/>
      </c>
      <c r="C28" s="62">
        <f>IF(D11="","-",+C27+1)</f>
        <v>2033</v>
      </c>
      <c r="D28" s="71">
        <f>IF(F27+SUM(E$17:E27)=D$10,F27,D$10-SUM(E$17:E27))</f>
        <v>4186289.6262626275</v>
      </c>
      <c r="E28" s="69">
        <f t="shared" si="5"/>
        <v>183341.15151515152</v>
      </c>
      <c r="F28" s="68">
        <f t="shared" si="6"/>
        <v>4002948.4747474762</v>
      </c>
      <c r="G28" s="70">
        <f t="shared" si="7"/>
        <v>653234.61332916014</v>
      </c>
      <c r="H28" s="52">
        <f t="shared" si="8"/>
        <v>653234.61332916014</v>
      </c>
      <c r="I28" s="65">
        <f t="shared" si="1"/>
        <v>0</v>
      </c>
      <c r="J28" s="65"/>
      <c r="K28" s="130"/>
      <c r="L28" s="67">
        <f t="shared" si="9"/>
        <v>0</v>
      </c>
      <c r="M28" s="130"/>
      <c r="N28" s="67">
        <f t="shared" si="3"/>
        <v>0</v>
      </c>
      <c r="O28" s="67">
        <f t="shared" si="4"/>
        <v>0</v>
      </c>
      <c r="P28" s="4"/>
    </row>
    <row r="29" spans="2:16">
      <c r="B29" t="str">
        <f t="shared" si="0"/>
        <v/>
      </c>
      <c r="C29" s="62">
        <f>IF(D11="","-",+C28+1)</f>
        <v>2034</v>
      </c>
      <c r="D29" s="71">
        <f>IF(F28+SUM(E$17:E28)=D$10,F28,D$10-SUM(E$17:E28))</f>
        <v>4002948.4747474762</v>
      </c>
      <c r="E29" s="69">
        <f t="shared" si="5"/>
        <v>183341.15151515152</v>
      </c>
      <c r="F29" s="68">
        <f t="shared" si="6"/>
        <v>3819607.3232323248</v>
      </c>
      <c r="G29" s="70">
        <f t="shared" si="7"/>
        <v>632194.6075762941</v>
      </c>
      <c r="H29" s="52">
        <f t="shared" si="8"/>
        <v>632194.6075762941</v>
      </c>
      <c r="I29" s="65">
        <f t="shared" si="1"/>
        <v>0</v>
      </c>
      <c r="J29" s="65"/>
      <c r="K29" s="130"/>
      <c r="L29" s="67">
        <f t="shared" si="9"/>
        <v>0</v>
      </c>
      <c r="M29" s="130"/>
      <c r="N29" s="67">
        <f t="shared" si="3"/>
        <v>0</v>
      </c>
      <c r="O29" s="67">
        <f t="shared" si="4"/>
        <v>0</v>
      </c>
      <c r="P29" s="4"/>
    </row>
    <row r="30" spans="2:16">
      <c r="B30" t="str">
        <f t="shared" si="0"/>
        <v/>
      </c>
      <c r="C30" s="62">
        <f>IF(D11="","-",+C29+1)</f>
        <v>2035</v>
      </c>
      <c r="D30" s="71">
        <f>IF(F29+SUM(E$17:E29)=D$10,F29,D$10-SUM(E$17:E29))</f>
        <v>3819607.3232323248</v>
      </c>
      <c r="E30" s="69">
        <f t="shared" si="5"/>
        <v>183341.15151515152</v>
      </c>
      <c r="F30" s="68">
        <f t="shared" si="6"/>
        <v>3636266.1717171734</v>
      </c>
      <c r="G30" s="70">
        <f t="shared" si="7"/>
        <v>611154.60182342806</v>
      </c>
      <c r="H30" s="52">
        <f t="shared" si="8"/>
        <v>611154.60182342806</v>
      </c>
      <c r="I30" s="65">
        <f t="shared" si="1"/>
        <v>0</v>
      </c>
      <c r="J30" s="65"/>
      <c r="K30" s="130"/>
      <c r="L30" s="67">
        <f t="shared" si="9"/>
        <v>0</v>
      </c>
      <c r="M30" s="130"/>
      <c r="N30" s="67">
        <f t="shared" si="3"/>
        <v>0</v>
      </c>
      <c r="O30" s="67">
        <f t="shared" si="4"/>
        <v>0</v>
      </c>
      <c r="P30" s="4"/>
    </row>
    <row r="31" spans="2:16">
      <c r="B31" t="str">
        <f t="shared" si="0"/>
        <v/>
      </c>
      <c r="C31" s="62">
        <f>IF(D11="","-",+C30+1)</f>
        <v>2036</v>
      </c>
      <c r="D31" s="71">
        <f>IF(F30+SUM(E$17:E30)=D$10,F30,D$10-SUM(E$17:E30))</f>
        <v>3636266.1717171734</v>
      </c>
      <c r="E31" s="69">
        <f t="shared" si="5"/>
        <v>183341.15151515152</v>
      </c>
      <c r="F31" s="68">
        <f t="shared" si="6"/>
        <v>3452925.020202022</v>
      </c>
      <c r="G31" s="70">
        <f t="shared" si="7"/>
        <v>590114.59607056202</v>
      </c>
      <c r="H31" s="52">
        <f t="shared" si="8"/>
        <v>590114.59607056202</v>
      </c>
      <c r="I31" s="65">
        <f t="shared" si="1"/>
        <v>0</v>
      </c>
      <c r="J31" s="65"/>
      <c r="K31" s="130"/>
      <c r="L31" s="67">
        <f t="shared" si="9"/>
        <v>0</v>
      </c>
      <c r="M31" s="130"/>
      <c r="N31" s="67">
        <f t="shared" si="3"/>
        <v>0</v>
      </c>
      <c r="O31" s="67">
        <f t="shared" si="4"/>
        <v>0</v>
      </c>
      <c r="P31" s="4"/>
    </row>
    <row r="32" spans="2:16">
      <c r="B32" t="str">
        <f t="shared" si="0"/>
        <v/>
      </c>
      <c r="C32" s="62">
        <f>IF(D11="","-",+C31+1)</f>
        <v>2037</v>
      </c>
      <c r="D32" s="71">
        <f>IF(F31+SUM(E$17:E31)=D$10,F31,D$10-SUM(E$17:E31))</f>
        <v>3452925.020202022</v>
      </c>
      <c r="E32" s="69">
        <f t="shared" si="5"/>
        <v>183341.15151515152</v>
      </c>
      <c r="F32" s="68">
        <f t="shared" si="6"/>
        <v>3269583.8686868707</v>
      </c>
      <c r="G32" s="70">
        <f t="shared" si="7"/>
        <v>569074.59031769598</v>
      </c>
      <c r="H32" s="52">
        <f t="shared" si="8"/>
        <v>569074.59031769598</v>
      </c>
      <c r="I32" s="65">
        <f t="shared" si="1"/>
        <v>0</v>
      </c>
      <c r="J32" s="65"/>
      <c r="K32" s="130"/>
      <c r="L32" s="67">
        <f t="shared" si="9"/>
        <v>0</v>
      </c>
      <c r="M32" s="130"/>
      <c r="N32" s="67">
        <f t="shared" si="3"/>
        <v>0</v>
      </c>
      <c r="O32" s="67">
        <f t="shared" si="4"/>
        <v>0</v>
      </c>
      <c r="P32" s="4"/>
    </row>
    <row r="33" spans="2:16">
      <c r="B33" t="str">
        <f t="shared" si="0"/>
        <v/>
      </c>
      <c r="C33" s="62">
        <f>IF(D11="","-",+C32+1)</f>
        <v>2038</v>
      </c>
      <c r="D33" s="71">
        <f>IF(F32+SUM(E$17:E32)=D$10,F32,D$10-SUM(E$17:E32))</f>
        <v>3269583.8686868707</v>
      </c>
      <c r="E33" s="69">
        <f t="shared" si="5"/>
        <v>183341.15151515152</v>
      </c>
      <c r="F33" s="68">
        <f t="shared" si="6"/>
        <v>3086242.7171717193</v>
      </c>
      <c r="G33" s="70">
        <f t="shared" si="7"/>
        <v>548034.58456482994</v>
      </c>
      <c r="H33" s="52">
        <f t="shared" si="8"/>
        <v>548034.58456482994</v>
      </c>
      <c r="I33" s="65">
        <f t="shared" si="1"/>
        <v>0</v>
      </c>
      <c r="J33" s="65"/>
      <c r="K33" s="130"/>
      <c r="L33" s="67">
        <f t="shared" si="9"/>
        <v>0</v>
      </c>
      <c r="M33" s="130"/>
      <c r="N33" s="67">
        <f t="shared" si="3"/>
        <v>0</v>
      </c>
      <c r="O33" s="67">
        <f t="shared" si="4"/>
        <v>0</v>
      </c>
      <c r="P33" s="4"/>
    </row>
    <row r="34" spans="2:16">
      <c r="B34" t="str">
        <f t="shared" si="0"/>
        <v/>
      </c>
      <c r="C34" s="62">
        <f>IF(D11="","-",+C33+1)</f>
        <v>2039</v>
      </c>
      <c r="D34" s="71">
        <f>IF(F33+SUM(E$17:E33)=D$10,F33,D$10-SUM(E$17:E33))</f>
        <v>3086242.7171717193</v>
      </c>
      <c r="E34" s="69">
        <f t="shared" si="5"/>
        <v>183341.15151515152</v>
      </c>
      <c r="F34" s="68">
        <f t="shared" si="6"/>
        <v>2902901.5656565679</v>
      </c>
      <c r="G34" s="70">
        <f t="shared" si="7"/>
        <v>526994.5788119639</v>
      </c>
      <c r="H34" s="52">
        <f t="shared" si="8"/>
        <v>526994.5788119639</v>
      </c>
      <c r="I34" s="65">
        <f t="shared" si="1"/>
        <v>0</v>
      </c>
      <c r="J34" s="65"/>
      <c r="K34" s="130"/>
      <c r="L34" s="67">
        <f t="shared" si="9"/>
        <v>0</v>
      </c>
      <c r="M34" s="130"/>
      <c r="N34" s="67">
        <f t="shared" si="3"/>
        <v>0</v>
      </c>
      <c r="O34" s="67">
        <f t="shared" si="4"/>
        <v>0</v>
      </c>
      <c r="P34" s="4"/>
    </row>
    <row r="35" spans="2:16">
      <c r="B35" t="str">
        <f t="shared" si="0"/>
        <v/>
      </c>
      <c r="C35" s="62">
        <f>IF(D11="","-",+C34+1)</f>
        <v>2040</v>
      </c>
      <c r="D35" s="71">
        <f>IF(F34+SUM(E$17:E34)=D$10,F34,D$10-SUM(E$17:E34))</f>
        <v>2902901.5656565679</v>
      </c>
      <c r="E35" s="69">
        <f t="shared" si="5"/>
        <v>183341.15151515152</v>
      </c>
      <c r="F35" s="68">
        <f t="shared" si="6"/>
        <v>2719560.4141414165</v>
      </c>
      <c r="G35" s="70">
        <f t="shared" si="7"/>
        <v>505954.57305909786</v>
      </c>
      <c r="H35" s="52">
        <f t="shared" si="8"/>
        <v>505954.57305909786</v>
      </c>
      <c r="I35" s="65">
        <f t="shared" si="1"/>
        <v>0</v>
      </c>
      <c r="J35" s="65"/>
      <c r="K35" s="130"/>
      <c r="L35" s="67">
        <f t="shared" si="9"/>
        <v>0</v>
      </c>
      <c r="M35" s="130"/>
      <c r="N35" s="67">
        <f t="shared" si="3"/>
        <v>0</v>
      </c>
      <c r="O35" s="67">
        <f t="shared" si="4"/>
        <v>0</v>
      </c>
      <c r="P35" s="4"/>
    </row>
    <row r="36" spans="2:16">
      <c r="B36" t="str">
        <f t="shared" si="0"/>
        <v/>
      </c>
      <c r="C36" s="62">
        <f>IF(D11="","-",+C35+1)</f>
        <v>2041</v>
      </c>
      <c r="D36" s="71">
        <f>IF(F35+SUM(E$17:E35)=D$10,F35,D$10-SUM(E$17:E35))</f>
        <v>2719560.4141414165</v>
      </c>
      <c r="E36" s="69">
        <f t="shared" si="5"/>
        <v>183341.15151515152</v>
      </c>
      <c r="F36" s="68">
        <f t="shared" si="6"/>
        <v>2536219.2626262652</v>
      </c>
      <c r="G36" s="70">
        <f t="shared" si="7"/>
        <v>484914.56730623182</v>
      </c>
      <c r="H36" s="52">
        <f t="shared" si="8"/>
        <v>484914.56730623182</v>
      </c>
      <c r="I36" s="65">
        <f t="shared" si="1"/>
        <v>0</v>
      </c>
      <c r="J36" s="65"/>
      <c r="K36" s="130"/>
      <c r="L36" s="67">
        <f t="shared" si="9"/>
        <v>0</v>
      </c>
      <c r="M36" s="130"/>
      <c r="N36" s="67">
        <f t="shared" si="3"/>
        <v>0</v>
      </c>
      <c r="O36" s="67">
        <f t="shared" si="4"/>
        <v>0</v>
      </c>
      <c r="P36" s="4"/>
    </row>
    <row r="37" spans="2:16">
      <c r="B37" t="str">
        <f t="shared" si="0"/>
        <v/>
      </c>
      <c r="C37" s="62">
        <f>IF(D11="","-",+C36+1)</f>
        <v>2042</v>
      </c>
      <c r="D37" s="71">
        <f>IF(F36+SUM(E$17:E36)=D$10,F36,D$10-SUM(E$17:E36))</f>
        <v>2536219.2626262652</v>
      </c>
      <c r="E37" s="69">
        <f t="shared" si="5"/>
        <v>183341.15151515152</v>
      </c>
      <c r="F37" s="68">
        <f t="shared" si="6"/>
        <v>2352878.1111111138</v>
      </c>
      <c r="G37" s="70">
        <f t="shared" si="7"/>
        <v>463874.56155336578</v>
      </c>
      <c r="H37" s="52">
        <f t="shared" si="8"/>
        <v>463874.56155336578</v>
      </c>
      <c r="I37" s="65">
        <f t="shared" si="1"/>
        <v>0</v>
      </c>
      <c r="J37" s="65"/>
      <c r="K37" s="130"/>
      <c r="L37" s="67">
        <f t="shared" si="9"/>
        <v>0</v>
      </c>
      <c r="M37" s="130"/>
      <c r="N37" s="67">
        <f t="shared" si="3"/>
        <v>0</v>
      </c>
      <c r="O37" s="67">
        <f t="shared" si="4"/>
        <v>0</v>
      </c>
      <c r="P37" s="4"/>
    </row>
    <row r="38" spans="2:16">
      <c r="B38" t="str">
        <f t="shared" si="0"/>
        <v/>
      </c>
      <c r="C38" s="62">
        <f>IF(D11="","-",+C37+1)</f>
        <v>2043</v>
      </c>
      <c r="D38" s="71">
        <f>IF(F37+SUM(E$17:E37)=D$10,F37,D$10-SUM(E$17:E37))</f>
        <v>2352878.1111111138</v>
      </c>
      <c r="E38" s="69">
        <f t="shared" si="5"/>
        <v>183341.15151515152</v>
      </c>
      <c r="F38" s="68">
        <f t="shared" si="6"/>
        <v>2169536.9595959624</v>
      </c>
      <c r="G38" s="70">
        <f t="shared" si="7"/>
        <v>442834.55580049974</v>
      </c>
      <c r="H38" s="52">
        <f t="shared" si="8"/>
        <v>442834.55580049974</v>
      </c>
      <c r="I38" s="65">
        <f t="shared" si="1"/>
        <v>0</v>
      </c>
      <c r="J38" s="65"/>
      <c r="K38" s="130"/>
      <c r="L38" s="67">
        <f t="shared" si="9"/>
        <v>0</v>
      </c>
      <c r="M38" s="130"/>
      <c r="N38" s="67">
        <f t="shared" si="3"/>
        <v>0</v>
      </c>
      <c r="O38" s="67">
        <f t="shared" si="4"/>
        <v>0</v>
      </c>
      <c r="P38" s="4"/>
    </row>
    <row r="39" spans="2:16">
      <c r="B39" t="str">
        <f t="shared" si="0"/>
        <v/>
      </c>
      <c r="C39" s="62">
        <f>IF(D11="","-",+C38+1)</f>
        <v>2044</v>
      </c>
      <c r="D39" s="71">
        <f>IF(F38+SUM(E$17:E38)=D$10,F38,D$10-SUM(E$17:E38))</f>
        <v>2169536.9595959624</v>
      </c>
      <c r="E39" s="69">
        <f t="shared" si="5"/>
        <v>183341.15151515152</v>
      </c>
      <c r="F39" s="68">
        <f t="shared" si="6"/>
        <v>1986195.8080808108</v>
      </c>
      <c r="G39" s="70">
        <f t="shared" si="7"/>
        <v>421794.5500476337</v>
      </c>
      <c r="H39" s="52">
        <f t="shared" si="8"/>
        <v>421794.5500476337</v>
      </c>
      <c r="I39" s="65">
        <f t="shared" si="1"/>
        <v>0</v>
      </c>
      <c r="J39" s="65"/>
      <c r="K39" s="130"/>
      <c r="L39" s="67">
        <f t="shared" si="9"/>
        <v>0</v>
      </c>
      <c r="M39" s="130"/>
      <c r="N39" s="67">
        <f t="shared" si="3"/>
        <v>0</v>
      </c>
      <c r="O39" s="67">
        <f t="shared" si="4"/>
        <v>0</v>
      </c>
      <c r="P39" s="4"/>
    </row>
    <row r="40" spans="2:16">
      <c r="B40" t="str">
        <f t="shared" si="0"/>
        <v/>
      </c>
      <c r="C40" s="62">
        <f>IF(D11="","-",+C39+1)</f>
        <v>2045</v>
      </c>
      <c r="D40" s="71">
        <f>IF(F39+SUM(E$17:E39)=D$10,F39,D$10-SUM(E$17:E39))</f>
        <v>1986195.8080808108</v>
      </c>
      <c r="E40" s="69">
        <f t="shared" si="5"/>
        <v>183341.15151515152</v>
      </c>
      <c r="F40" s="68">
        <f t="shared" si="6"/>
        <v>1802854.6565656592</v>
      </c>
      <c r="G40" s="70">
        <f t="shared" si="7"/>
        <v>400754.54429476766</v>
      </c>
      <c r="H40" s="52">
        <f t="shared" si="8"/>
        <v>400754.54429476766</v>
      </c>
      <c r="I40" s="65">
        <f t="shared" si="1"/>
        <v>0</v>
      </c>
      <c r="J40" s="65"/>
      <c r="K40" s="130"/>
      <c r="L40" s="67">
        <f t="shared" si="9"/>
        <v>0</v>
      </c>
      <c r="M40" s="130"/>
      <c r="N40" s="67">
        <f t="shared" si="3"/>
        <v>0</v>
      </c>
      <c r="O40" s="67">
        <f t="shared" si="4"/>
        <v>0</v>
      </c>
      <c r="P40" s="4"/>
    </row>
    <row r="41" spans="2:16">
      <c r="B41" t="str">
        <f t="shared" si="0"/>
        <v/>
      </c>
      <c r="C41" s="62">
        <f>IF(D11="","-",+C40+1)</f>
        <v>2046</v>
      </c>
      <c r="D41" s="71">
        <f>IF(F40+SUM(E$17:E40)=D$10,F40,D$10-SUM(E$17:E40))</f>
        <v>1802854.6565656592</v>
      </c>
      <c r="E41" s="69">
        <f t="shared" si="5"/>
        <v>183341.15151515152</v>
      </c>
      <c r="F41" s="68">
        <f t="shared" si="6"/>
        <v>1619513.5050505076</v>
      </c>
      <c r="G41" s="70">
        <f t="shared" si="7"/>
        <v>379714.53854190162</v>
      </c>
      <c r="H41" s="52">
        <f t="shared" si="8"/>
        <v>379714.53854190162</v>
      </c>
      <c r="I41" s="65">
        <f t="shared" si="1"/>
        <v>0</v>
      </c>
      <c r="J41" s="65"/>
      <c r="K41" s="130"/>
      <c r="L41" s="67">
        <f t="shared" si="9"/>
        <v>0</v>
      </c>
      <c r="M41" s="130"/>
      <c r="N41" s="67">
        <f t="shared" si="3"/>
        <v>0</v>
      </c>
      <c r="O41" s="67">
        <f t="shared" si="4"/>
        <v>0</v>
      </c>
      <c r="P41" s="4"/>
    </row>
    <row r="42" spans="2:16">
      <c r="B42" t="str">
        <f t="shared" si="0"/>
        <v/>
      </c>
      <c r="C42" s="62">
        <f>IF(D11="","-",+C41+1)</f>
        <v>2047</v>
      </c>
      <c r="D42" s="71">
        <f>IF(F41+SUM(E$17:E41)=D$10,F41,D$10-SUM(E$17:E41))</f>
        <v>1619513.5050505076</v>
      </c>
      <c r="E42" s="69">
        <f t="shared" si="5"/>
        <v>183341.15151515152</v>
      </c>
      <c r="F42" s="68">
        <f t="shared" si="6"/>
        <v>1436172.353535356</v>
      </c>
      <c r="G42" s="70">
        <f t="shared" si="7"/>
        <v>358674.53278903553</v>
      </c>
      <c r="H42" s="52">
        <f t="shared" si="8"/>
        <v>358674.53278903553</v>
      </c>
      <c r="I42" s="65">
        <f t="shared" si="1"/>
        <v>0</v>
      </c>
      <c r="J42" s="65"/>
      <c r="K42" s="130"/>
      <c r="L42" s="67">
        <f t="shared" si="9"/>
        <v>0</v>
      </c>
      <c r="M42" s="130"/>
      <c r="N42" s="67">
        <f t="shared" si="3"/>
        <v>0</v>
      </c>
      <c r="O42" s="67">
        <f t="shared" si="4"/>
        <v>0</v>
      </c>
      <c r="P42" s="4"/>
    </row>
    <row r="43" spans="2:16">
      <c r="B43" t="str">
        <f t="shared" si="0"/>
        <v/>
      </c>
      <c r="C43" s="62">
        <f>IF(D11="","-",+C42+1)</f>
        <v>2048</v>
      </c>
      <c r="D43" s="71">
        <f>IF(F42+SUM(E$17:E42)=D$10,F42,D$10-SUM(E$17:E42))</f>
        <v>1436172.353535356</v>
      </c>
      <c r="E43" s="69">
        <f t="shared" si="5"/>
        <v>183341.15151515152</v>
      </c>
      <c r="F43" s="68">
        <f t="shared" si="6"/>
        <v>1252831.2020202044</v>
      </c>
      <c r="G43" s="70">
        <f t="shared" si="7"/>
        <v>337634.52703616954</v>
      </c>
      <c r="H43" s="52">
        <f t="shared" si="8"/>
        <v>337634.52703616954</v>
      </c>
      <c r="I43" s="65">
        <f t="shared" si="1"/>
        <v>0</v>
      </c>
      <c r="J43" s="65"/>
      <c r="K43" s="130"/>
      <c r="L43" s="67">
        <f t="shared" si="9"/>
        <v>0</v>
      </c>
      <c r="M43" s="130"/>
      <c r="N43" s="67">
        <f t="shared" si="3"/>
        <v>0</v>
      </c>
      <c r="O43" s="67">
        <f t="shared" si="4"/>
        <v>0</v>
      </c>
      <c r="P43" s="4"/>
    </row>
    <row r="44" spans="2:16">
      <c r="B44" t="str">
        <f t="shared" si="0"/>
        <v/>
      </c>
      <c r="C44" s="62">
        <f>IF(D11="","-",+C43+1)</f>
        <v>2049</v>
      </c>
      <c r="D44" s="71">
        <f>IF(F43+SUM(E$17:E43)=D$10,F43,D$10-SUM(E$17:E43))</f>
        <v>1252831.2020202044</v>
      </c>
      <c r="E44" s="69">
        <f t="shared" si="5"/>
        <v>183341.15151515152</v>
      </c>
      <c r="F44" s="68">
        <f t="shared" si="6"/>
        <v>1069490.0505050528</v>
      </c>
      <c r="G44" s="70">
        <f t="shared" si="7"/>
        <v>316594.52128330339</v>
      </c>
      <c r="H44" s="52">
        <f t="shared" si="8"/>
        <v>316594.52128330339</v>
      </c>
      <c r="I44" s="65">
        <f t="shared" si="1"/>
        <v>0</v>
      </c>
      <c r="J44" s="65"/>
      <c r="K44" s="130"/>
      <c r="L44" s="67">
        <f t="shared" si="9"/>
        <v>0</v>
      </c>
      <c r="M44" s="130"/>
      <c r="N44" s="67">
        <f t="shared" si="3"/>
        <v>0</v>
      </c>
      <c r="O44" s="67">
        <f t="shared" si="4"/>
        <v>0</v>
      </c>
      <c r="P44" s="4"/>
    </row>
    <row r="45" spans="2:16">
      <c r="B45" t="str">
        <f t="shared" si="0"/>
        <v/>
      </c>
      <c r="C45" s="62">
        <f>IF(D11="","-",+C44+1)</f>
        <v>2050</v>
      </c>
      <c r="D45" s="71">
        <f>IF(F44+SUM(E$17:E44)=D$10,F44,D$10-SUM(E$17:E44))</f>
        <v>1069490.0505050528</v>
      </c>
      <c r="E45" s="69">
        <f t="shared" si="5"/>
        <v>183341.15151515152</v>
      </c>
      <c r="F45" s="68">
        <f t="shared" si="6"/>
        <v>886148.8989899013</v>
      </c>
      <c r="G45" s="70">
        <f t="shared" si="7"/>
        <v>295554.51553043735</v>
      </c>
      <c r="H45" s="52">
        <f t="shared" si="8"/>
        <v>295554.51553043735</v>
      </c>
      <c r="I45" s="65">
        <f t="shared" si="1"/>
        <v>0</v>
      </c>
      <c r="J45" s="65"/>
      <c r="K45" s="130"/>
      <c r="L45" s="67">
        <f t="shared" si="9"/>
        <v>0</v>
      </c>
      <c r="M45" s="130"/>
      <c r="N45" s="67">
        <f t="shared" si="3"/>
        <v>0</v>
      </c>
      <c r="O45" s="67">
        <f t="shared" si="4"/>
        <v>0</v>
      </c>
      <c r="P45" s="4"/>
    </row>
    <row r="46" spans="2:16">
      <c r="B46" t="str">
        <f t="shared" si="0"/>
        <v/>
      </c>
      <c r="C46" s="62">
        <f>IF(D11="","-",+C45+1)</f>
        <v>2051</v>
      </c>
      <c r="D46" s="71">
        <f>IF(F45+SUM(E$17:E45)=D$10,F45,D$10-SUM(E$17:E45))</f>
        <v>886148.8989899013</v>
      </c>
      <c r="E46" s="69">
        <f t="shared" si="5"/>
        <v>183341.15151515152</v>
      </c>
      <c r="F46" s="68">
        <f t="shared" si="6"/>
        <v>702807.74747474981</v>
      </c>
      <c r="G46" s="70">
        <f t="shared" si="7"/>
        <v>274514.50977757131</v>
      </c>
      <c r="H46" s="52">
        <f t="shared" si="8"/>
        <v>274514.50977757131</v>
      </c>
      <c r="I46" s="65">
        <f t="shared" si="1"/>
        <v>0</v>
      </c>
      <c r="J46" s="65"/>
      <c r="K46" s="130"/>
      <c r="L46" s="67">
        <f t="shared" si="9"/>
        <v>0</v>
      </c>
      <c r="M46" s="130"/>
      <c r="N46" s="67">
        <f t="shared" si="3"/>
        <v>0</v>
      </c>
      <c r="O46" s="67">
        <f t="shared" si="4"/>
        <v>0</v>
      </c>
      <c r="P46" s="4"/>
    </row>
    <row r="47" spans="2:16">
      <c r="B47" t="str">
        <f t="shared" si="0"/>
        <v/>
      </c>
      <c r="C47" s="62">
        <f>IF(D11="","-",+C46+1)</f>
        <v>2052</v>
      </c>
      <c r="D47" s="71">
        <f>IF(F46+SUM(E$17:E46)=D$10,F46,D$10-SUM(E$17:E46))</f>
        <v>702807.74747474981</v>
      </c>
      <c r="E47" s="69">
        <f t="shared" si="5"/>
        <v>183341.15151515152</v>
      </c>
      <c r="F47" s="68">
        <f t="shared" si="6"/>
        <v>519466.59595959831</v>
      </c>
      <c r="G47" s="70">
        <f t="shared" si="7"/>
        <v>253474.5040247053</v>
      </c>
      <c r="H47" s="52">
        <f t="shared" si="8"/>
        <v>253474.5040247053</v>
      </c>
      <c r="I47" s="65">
        <f t="shared" si="1"/>
        <v>0</v>
      </c>
      <c r="J47" s="65"/>
      <c r="K47" s="130"/>
      <c r="L47" s="67">
        <f t="shared" si="9"/>
        <v>0</v>
      </c>
      <c r="M47" s="130"/>
      <c r="N47" s="67">
        <f t="shared" si="3"/>
        <v>0</v>
      </c>
      <c r="O47" s="67">
        <f t="shared" si="4"/>
        <v>0</v>
      </c>
      <c r="P47" s="4"/>
    </row>
    <row r="48" spans="2:16">
      <c r="B48" t="str">
        <f t="shared" si="0"/>
        <v/>
      </c>
      <c r="C48" s="62">
        <f>IF(D11="","-",+C47+1)</f>
        <v>2053</v>
      </c>
      <c r="D48" s="71">
        <f>IF(F47+SUM(E$17:E47)=D$10,F47,D$10-SUM(E$17:E47))</f>
        <v>519466.59595959831</v>
      </c>
      <c r="E48" s="69">
        <f t="shared" si="5"/>
        <v>183341.15151515152</v>
      </c>
      <c r="F48" s="68">
        <f t="shared" si="6"/>
        <v>336125.44444444682</v>
      </c>
      <c r="G48" s="70">
        <f t="shared" si="7"/>
        <v>232434.49827183923</v>
      </c>
      <c r="H48" s="52">
        <f t="shared" si="8"/>
        <v>232434.49827183923</v>
      </c>
      <c r="I48" s="65">
        <f t="shared" si="1"/>
        <v>0</v>
      </c>
      <c r="J48" s="65"/>
      <c r="K48" s="130"/>
      <c r="L48" s="67">
        <f t="shared" si="9"/>
        <v>0</v>
      </c>
      <c r="M48" s="130"/>
      <c r="N48" s="67">
        <f t="shared" si="3"/>
        <v>0</v>
      </c>
      <c r="O48" s="67">
        <f t="shared" si="4"/>
        <v>0</v>
      </c>
      <c r="P48" s="4"/>
    </row>
    <row r="49" spans="2:16">
      <c r="B49" t="str">
        <f t="shared" si="0"/>
        <v/>
      </c>
      <c r="C49" s="62">
        <f>IF(D11="","-",+C48+1)</f>
        <v>2054</v>
      </c>
      <c r="D49" s="71">
        <f>IF(F48+SUM(E$17:E48)=D$10,F48,D$10-SUM(E$17:E48))</f>
        <v>336125.44444444682</v>
      </c>
      <c r="E49" s="69">
        <f t="shared" si="5"/>
        <v>183341.15151515152</v>
      </c>
      <c r="F49" s="68">
        <f t="shared" si="6"/>
        <v>152784.2929292953</v>
      </c>
      <c r="G49" s="70">
        <f t="shared" si="7"/>
        <v>211394.49251897319</v>
      </c>
      <c r="H49" s="52">
        <f t="shared" si="8"/>
        <v>211394.49251897319</v>
      </c>
      <c r="I49" s="65">
        <f t="shared" si="1"/>
        <v>0</v>
      </c>
      <c r="J49" s="65"/>
      <c r="K49" s="130"/>
      <c r="L49" s="67">
        <f t="shared" si="9"/>
        <v>0</v>
      </c>
      <c r="M49" s="130"/>
      <c r="N49" s="67">
        <f t="shared" si="3"/>
        <v>0</v>
      </c>
      <c r="O49" s="67">
        <f t="shared" si="4"/>
        <v>0</v>
      </c>
      <c r="P49" s="4"/>
    </row>
    <row r="50" spans="2:16">
      <c r="B50" t="str">
        <f t="shared" si="0"/>
        <v/>
      </c>
      <c r="C50" s="62">
        <f>IF(D11="","-",+C49+1)</f>
        <v>2055</v>
      </c>
      <c r="D50" s="71">
        <f>IF(F49+SUM(E$17:E49)=D$10,F49,D$10-SUM(E$17:E49))</f>
        <v>152784.2929292953</v>
      </c>
      <c r="E50" s="69">
        <f t="shared" si="5"/>
        <v>152784.2929292953</v>
      </c>
      <c r="F50" s="68">
        <f t="shared" si="6"/>
        <v>0</v>
      </c>
      <c r="G50" s="70">
        <f t="shared" si="7"/>
        <v>161550.96199298964</v>
      </c>
      <c r="H50" s="52">
        <f t="shared" si="8"/>
        <v>161550.96199298964</v>
      </c>
      <c r="I50" s="65">
        <f t="shared" si="1"/>
        <v>0</v>
      </c>
      <c r="J50" s="65"/>
      <c r="K50" s="130"/>
      <c r="L50" s="67">
        <f t="shared" si="9"/>
        <v>0</v>
      </c>
      <c r="M50" s="130"/>
      <c r="N50" s="67">
        <f t="shared" si="3"/>
        <v>0</v>
      </c>
      <c r="O50" s="67">
        <f t="shared" si="4"/>
        <v>0</v>
      </c>
      <c r="P50" s="4"/>
    </row>
    <row r="51" spans="2:16">
      <c r="B51" t="str">
        <f t="shared" si="0"/>
        <v/>
      </c>
      <c r="C51" s="62">
        <f>IF(D11="","-",+C50+1)</f>
        <v>2056</v>
      </c>
      <c r="D51" s="71">
        <f>IF(F50+SUM(E$17:E50)=D$10,F50,D$10-SUM(E$17:E50))</f>
        <v>0</v>
      </c>
      <c r="E51" s="69">
        <f t="shared" si="5"/>
        <v>0</v>
      </c>
      <c r="F51" s="68">
        <f t="shared" si="6"/>
        <v>0</v>
      </c>
      <c r="G51" s="70">
        <f t="shared" si="7"/>
        <v>0</v>
      </c>
      <c r="H51" s="52">
        <f t="shared" si="8"/>
        <v>0</v>
      </c>
      <c r="I51" s="65">
        <f t="shared" si="1"/>
        <v>0</v>
      </c>
      <c r="J51" s="65"/>
      <c r="K51" s="130"/>
      <c r="L51" s="67">
        <f t="shared" si="9"/>
        <v>0</v>
      </c>
      <c r="M51" s="130"/>
      <c r="N51" s="67">
        <f t="shared" si="3"/>
        <v>0</v>
      </c>
      <c r="O51" s="67">
        <f t="shared" si="4"/>
        <v>0</v>
      </c>
      <c r="P51" s="4"/>
    </row>
    <row r="52" spans="2:16">
      <c r="B52" t="str">
        <f t="shared" si="0"/>
        <v/>
      </c>
      <c r="C52" s="62">
        <f>IF(D11="","-",+C51+1)</f>
        <v>2057</v>
      </c>
      <c r="D52" s="71">
        <f>IF(F51+SUM(E$17:E51)=D$10,F51,D$10-SUM(E$17:E51))</f>
        <v>0</v>
      </c>
      <c r="E52" s="69">
        <f t="shared" si="5"/>
        <v>0</v>
      </c>
      <c r="F52" s="68">
        <f t="shared" si="6"/>
        <v>0</v>
      </c>
      <c r="G52" s="70">
        <f t="shared" si="7"/>
        <v>0</v>
      </c>
      <c r="H52" s="52">
        <f t="shared" si="8"/>
        <v>0</v>
      </c>
      <c r="I52" s="65">
        <f t="shared" si="1"/>
        <v>0</v>
      </c>
      <c r="J52" s="65"/>
      <c r="K52" s="130"/>
      <c r="L52" s="67">
        <f t="shared" si="9"/>
        <v>0</v>
      </c>
      <c r="M52" s="130"/>
      <c r="N52" s="67">
        <f t="shared" si="3"/>
        <v>0</v>
      </c>
      <c r="O52" s="67">
        <f t="shared" si="4"/>
        <v>0</v>
      </c>
      <c r="P52" s="4"/>
    </row>
    <row r="53" spans="2:16">
      <c r="B53" t="str">
        <f t="shared" si="0"/>
        <v/>
      </c>
      <c r="C53" s="62">
        <f>IF(D11="","-",+C52+1)</f>
        <v>2058</v>
      </c>
      <c r="D53" s="71">
        <f>IF(F52+SUM(E$17:E52)=D$10,F52,D$10-SUM(E$17:E52))</f>
        <v>0</v>
      </c>
      <c r="E53" s="69">
        <f t="shared" si="5"/>
        <v>0</v>
      </c>
      <c r="F53" s="68">
        <f t="shared" si="6"/>
        <v>0</v>
      </c>
      <c r="G53" s="70">
        <f t="shared" si="7"/>
        <v>0</v>
      </c>
      <c r="H53" s="52">
        <f t="shared" si="8"/>
        <v>0</v>
      </c>
      <c r="I53" s="65">
        <f t="shared" si="1"/>
        <v>0</v>
      </c>
      <c r="J53" s="65"/>
      <c r="K53" s="130"/>
      <c r="L53" s="67">
        <f t="shared" si="9"/>
        <v>0</v>
      </c>
      <c r="M53" s="130"/>
      <c r="N53" s="67">
        <f t="shared" si="3"/>
        <v>0</v>
      </c>
      <c r="O53" s="67">
        <f t="shared" si="4"/>
        <v>0</v>
      </c>
      <c r="P53" s="4"/>
    </row>
    <row r="54" spans="2:16">
      <c r="B54" t="str">
        <f t="shared" si="0"/>
        <v/>
      </c>
      <c r="C54" s="62">
        <f>IF(D11="","-",+C53+1)</f>
        <v>2059</v>
      </c>
      <c r="D54" s="71">
        <f>IF(F53+SUM(E$17:E53)=D$10,F53,D$10-SUM(E$17:E53))</f>
        <v>0</v>
      </c>
      <c r="E54" s="69">
        <f t="shared" si="5"/>
        <v>0</v>
      </c>
      <c r="F54" s="68">
        <f t="shared" si="6"/>
        <v>0</v>
      </c>
      <c r="G54" s="70">
        <f t="shared" si="7"/>
        <v>0</v>
      </c>
      <c r="H54" s="52">
        <f t="shared" si="8"/>
        <v>0</v>
      </c>
      <c r="I54" s="65">
        <f t="shared" si="1"/>
        <v>0</v>
      </c>
      <c r="J54" s="65"/>
      <c r="K54" s="130"/>
      <c r="L54" s="67">
        <f t="shared" si="9"/>
        <v>0</v>
      </c>
      <c r="M54" s="130"/>
      <c r="N54" s="67">
        <f t="shared" si="3"/>
        <v>0</v>
      </c>
      <c r="O54" s="67">
        <f t="shared" si="4"/>
        <v>0</v>
      </c>
      <c r="P54" s="4"/>
    </row>
    <row r="55" spans="2:16">
      <c r="B55" t="str">
        <f t="shared" si="0"/>
        <v/>
      </c>
      <c r="C55" s="62">
        <f>IF(D11="","-",+C54+1)</f>
        <v>2060</v>
      </c>
      <c r="D55" s="71">
        <f>IF(F54+SUM(E$17:E54)=D$10,F54,D$10-SUM(E$17:E54))</f>
        <v>0</v>
      </c>
      <c r="E55" s="69">
        <f t="shared" si="5"/>
        <v>0</v>
      </c>
      <c r="F55" s="68">
        <f t="shared" si="6"/>
        <v>0</v>
      </c>
      <c r="G55" s="70">
        <f t="shared" si="7"/>
        <v>0</v>
      </c>
      <c r="H55" s="52">
        <f t="shared" si="8"/>
        <v>0</v>
      </c>
      <c r="I55" s="65">
        <f t="shared" si="1"/>
        <v>0</v>
      </c>
      <c r="J55" s="65"/>
      <c r="K55" s="130"/>
      <c r="L55" s="67">
        <f t="shared" si="9"/>
        <v>0</v>
      </c>
      <c r="M55" s="130"/>
      <c r="N55" s="67">
        <f t="shared" si="3"/>
        <v>0</v>
      </c>
      <c r="O55" s="67">
        <f t="shared" si="4"/>
        <v>0</v>
      </c>
      <c r="P55" s="4"/>
    </row>
    <row r="56" spans="2:16">
      <c r="B56" t="str">
        <f t="shared" si="0"/>
        <v/>
      </c>
      <c r="C56" s="62">
        <f>IF(D11="","-",+C55+1)</f>
        <v>2061</v>
      </c>
      <c r="D56" s="71">
        <f>IF(F55+SUM(E$17:E55)=D$10,F55,D$10-SUM(E$17:E55))</f>
        <v>0</v>
      </c>
      <c r="E56" s="69">
        <f t="shared" si="5"/>
        <v>0</v>
      </c>
      <c r="F56" s="68">
        <f t="shared" si="6"/>
        <v>0</v>
      </c>
      <c r="G56" s="70">
        <f t="shared" si="7"/>
        <v>0</v>
      </c>
      <c r="H56" s="52">
        <f t="shared" si="8"/>
        <v>0</v>
      </c>
      <c r="I56" s="65">
        <f t="shared" si="1"/>
        <v>0</v>
      </c>
      <c r="J56" s="65"/>
      <c r="K56" s="130"/>
      <c r="L56" s="67">
        <f t="shared" si="9"/>
        <v>0</v>
      </c>
      <c r="M56" s="130"/>
      <c r="N56" s="67">
        <f t="shared" si="3"/>
        <v>0</v>
      </c>
      <c r="O56" s="67">
        <f t="shared" si="4"/>
        <v>0</v>
      </c>
      <c r="P56" s="4"/>
    </row>
    <row r="57" spans="2:16">
      <c r="B57" t="str">
        <f t="shared" si="0"/>
        <v/>
      </c>
      <c r="C57" s="62">
        <f>IF(D11="","-",+C56+1)</f>
        <v>2062</v>
      </c>
      <c r="D57" s="71">
        <f>IF(F56+SUM(E$17:E56)=D$10,F56,D$10-SUM(E$17:E56))</f>
        <v>0</v>
      </c>
      <c r="E57" s="69">
        <f t="shared" si="5"/>
        <v>0</v>
      </c>
      <c r="F57" s="68">
        <f t="shared" si="6"/>
        <v>0</v>
      </c>
      <c r="G57" s="70">
        <f t="shared" si="7"/>
        <v>0</v>
      </c>
      <c r="H57" s="52">
        <f t="shared" si="8"/>
        <v>0</v>
      </c>
      <c r="I57" s="65">
        <f t="shared" si="1"/>
        <v>0</v>
      </c>
      <c r="J57" s="65"/>
      <c r="K57" s="130"/>
      <c r="L57" s="67">
        <f t="shared" si="9"/>
        <v>0</v>
      </c>
      <c r="M57" s="130"/>
      <c r="N57" s="67">
        <f t="shared" si="3"/>
        <v>0</v>
      </c>
      <c r="O57" s="67">
        <f t="shared" si="4"/>
        <v>0</v>
      </c>
      <c r="P57" s="4"/>
    </row>
    <row r="58" spans="2:16">
      <c r="B58" t="str">
        <f t="shared" si="0"/>
        <v/>
      </c>
      <c r="C58" s="62">
        <f>IF(D11="","-",+C57+1)</f>
        <v>2063</v>
      </c>
      <c r="D58" s="71">
        <f>IF(F57+SUM(E$17:E57)=D$10,F57,D$10-SUM(E$17:E57))</f>
        <v>0</v>
      </c>
      <c r="E58" s="69">
        <f t="shared" si="5"/>
        <v>0</v>
      </c>
      <c r="F58" s="68">
        <f t="shared" si="6"/>
        <v>0</v>
      </c>
      <c r="G58" s="70">
        <f t="shared" si="7"/>
        <v>0</v>
      </c>
      <c r="H58" s="52">
        <f t="shared" si="8"/>
        <v>0</v>
      </c>
      <c r="I58" s="65">
        <f t="shared" si="1"/>
        <v>0</v>
      </c>
      <c r="J58" s="65"/>
      <c r="K58" s="130"/>
      <c r="L58" s="67">
        <f t="shared" si="9"/>
        <v>0</v>
      </c>
      <c r="M58" s="130"/>
      <c r="N58" s="67">
        <f t="shared" si="3"/>
        <v>0</v>
      </c>
      <c r="O58" s="67">
        <f t="shared" si="4"/>
        <v>0</v>
      </c>
      <c r="P58" s="4"/>
    </row>
    <row r="59" spans="2:16">
      <c r="B59" t="str">
        <f t="shared" si="0"/>
        <v/>
      </c>
      <c r="C59" s="62">
        <f>IF(D11="","-",+C58+1)</f>
        <v>2064</v>
      </c>
      <c r="D59" s="71">
        <f>IF(F58+SUM(E$17:E58)=D$10,F58,D$10-SUM(E$17:E58))</f>
        <v>0</v>
      </c>
      <c r="E59" s="69">
        <f t="shared" si="5"/>
        <v>0</v>
      </c>
      <c r="F59" s="68">
        <f t="shared" si="6"/>
        <v>0</v>
      </c>
      <c r="G59" s="70">
        <f t="shared" si="7"/>
        <v>0</v>
      </c>
      <c r="H59" s="52">
        <f t="shared" si="8"/>
        <v>0</v>
      </c>
      <c r="I59" s="65">
        <f t="shared" si="1"/>
        <v>0</v>
      </c>
      <c r="J59" s="65"/>
      <c r="K59" s="130"/>
      <c r="L59" s="67">
        <f t="shared" si="9"/>
        <v>0</v>
      </c>
      <c r="M59" s="130"/>
      <c r="N59" s="67">
        <f t="shared" si="3"/>
        <v>0</v>
      </c>
      <c r="O59" s="67">
        <f t="shared" si="4"/>
        <v>0</v>
      </c>
      <c r="P59" s="4"/>
    </row>
    <row r="60" spans="2:16">
      <c r="B60" t="str">
        <f t="shared" si="0"/>
        <v/>
      </c>
      <c r="C60" s="62">
        <f>IF(D11="","-",+C59+1)</f>
        <v>2065</v>
      </c>
      <c r="D60" s="71">
        <f>IF(F59+SUM(E$17:E59)=D$10,F59,D$10-SUM(E$17:E59))</f>
        <v>0</v>
      </c>
      <c r="E60" s="69">
        <f t="shared" si="5"/>
        <v>0</v>
      </c>
      <c r="F60" s="68">
        <f t="shared" si="6"/>
        <v>0</v>
      </c>
      <c r="G60" s="70">
        <f t="shared" si="7"/>
        <v>0</v>
      </c>
      <c r="H60" s="52">
        <f t="shared" si="8"/>
        <v>0</v>
      </c>
      <c r="I60" s="65">
        <f t="shared" si="1"/>
        <v>0</v>
      </c>
      <c r="J60" s="65"/>
      <c r="K60" s="130"/>
      <c r="L60" s="67">
        <f t="shared" si="9"/>
        <v>0</v>
      </c>
      <c r="M60" s="130"/>
      <c r="N60" s="67">
        <f t="shared" si="3"/>
        <v>0</v>
      </c>
      <c r="O60" s="67">
        <f t="shared" si="4"/>
        <v>0</v>
      </c>
      <c r="P60" s="4"/>
    </row>
    <row r="61" spans="2:16">
      <c r="B61" t="str">
        <f t="shared" si="0"/>
        <v/>
      </c>
      <c r="C61" s="62">
        <f>IF(D11="","-",+C60+1)</f>
        <v>2066</v>
      </c>
      <c r="D61" s="71">
        <f>IF(F60+SUM(E$17:E60)=D$10,F60,D$10-SUM(E$17:E60))</f>
        <v>0</v>
      </c>
      <c r="E61" s="69">
        <f t="shared" si="5"/>
        <v>0</v>
      </c>
      <c r="F61" s="68">
        <f t="shared" si="6"/>
        <v>0</v>
      </c>
      <c r="G61" s="72">
        <f t="shared" si="7"/>
        <v>0</v>
      </c>
      <c r="H61" s="52">
        <f t="shared" si="8"/>
        <v>0</v>
      </c>
      <c r="I61" s="65">
        <f t="shared" si="1"/>
        <v>0</v>
      </c>
      <c r="J61" s="65"/>
      <c r="K61" s="130"/>
      <c r="L61" s="67">
        <f t="shared" si="9"/>
        <v>0</v>
      </c>
      <c r="M61" s="130"/>
      <c r="N61" s="67">
        <f t="shared" si="3"/>
        <v>0</v>
      </c>
      <c r="O61" s="67">
        <f t="shared" si="4"/>
        <v>0</v>
      </c>
      <c r="P61" s="4"/>
    </row>
    <row r="62" spans="2:16">
      <c r="B62" t="str">
        <f t="shared" si="0"/>
        <v/>
      </c>
      <c r="C62" s="62">
        <f>IF(D11="","-",+C61+1)</f>
        <v>2067</v>
      </c>
      <c r="D62" s="71">
        <f>IF(F61+SUM(E$17:E61)=D$10,F61,D$10-SUM(E$17:E61))</f>
        <v>0</v>
      </c>
      <c r="E62" s="69">
        <f t="shared" si="5"/>
        <v>0</v>
      </c>
      <c r="F62" s="68">
        <f t="shared" si="6"/>
        <v>0</v>
      </c>
      <c r="G62" s="72">
        <f t="shared" si="7"/>
        <v>0</v>
      </c>
      <c r="H62" s="52">
        <f t="shared" si="8"/>
        <v>0</v>
      </c>
      <c r="I62" s="65">
        <f t="shared" si="1"/>
        <v>0</v>
      </c>
      <c r="J62" s="65"/>
      <c r="K62" s="130"/>
      <c r="L62" s="67">
        <f t="shared" si="9"/>
        <v>0</v>
      </c>
      <c r="M62" s="130"/>
      <c r="N62" s="67">
        <f t="shared" si="3"/>
        <v>0</v>
      </c>
      <c r="O62" s="67">
        <f t="shared" si="4"/>
        <v>0</v>
      </c>
      <c r="P62" s="4"/>
    </row>
    <row r="63" spans="2:16">
      <c r="B63" t="str">
        <f t="shared" si="0"/>
        <v/>
      </c>
      <c r="C63" s="62">
        <f>IF(D11="","-",+C62+1)</f>
        <v>2068</v>
      </c>
      <c r="D63" s="71">
        <f>IF(F62+SUM(E$17:E62)=D$10,F62,D$10-SUM(E$17:E62))</f>
        <v>0</v>
      </c>
      <c r="E63" s="69">
        <f t="shared" si="5"/>
        <v>0</v>
      </c>
      <c r="F63" s="68">
        <f t="shared" si="6"/>
        <v>0</v>
      </c>
      <c r="G63" s="72">
        <f t="shared" si="7"/>
        <v>0</v>
      </c>
      <c r="H63" s="52">
        <f t="shared" si="8"/>
        <v>0</v>
      </c>
      <c r="I63" s="65">
        <f t="shared" si="1"/>
        <v>0</v>
      </c>
      <c r="J63" s="65"/>
      <c r="K63" s="130"/>
      <c r="L63" s="67">
        <f t="shared" si="9"/>
        <v>0</v>
      </c>
      <c r="M63" s="130"/>
      <c r="N63" s="67">
        <f t="shared" si="3"/>
        <v>0</v>
      </c>
      <c r="O63" s="67">
        <f t="shared" si="4"/>
        <v>0</v>
      </c>
      <c r="P63" s="4"/>
    </row>
    <row r="64" spans="2:16">
      <c r="B64" t="str">
        <f t="shared" si="0"/>
        <v/>
      </c>
      <c r="C64" s="62">
        <f>IF(D11="","-",+C63+1)</f>
        <v>2069</v>
      </c>
      <c r="D64" s="71">
        <f>IF(F63+SUM(E$17:E63)=D$10,F63,D$10-SUM(E$17:E63))</f>
        <v>0</v>
      </c>
      <c r="E64" s="69">
        <f t="shared" si="5"/>
        <v>0</v>
      </c>
      <c r="F64" s="68">
        <f t="shared" si="6"/>
        <v>0</v>
      </c>
      <c r="G64" s="72">
        <f t="shared" si="7"/>
        <v>0</v>
      </c>
      <c r="H64" s="52">
        <f t="shared" si="8"/>
        <v>0</v>
      </c>
      <c r="I64" s="65">
        <f t="shared" si="1"/>
        <v>0</v>
      </c>
      <c r="J64" s="65"/>
      <c r="K64" s="130"/>
      <c r="L64" s="67">
        <f t="shared" si="9"/>
        <v>0</v>
      </c>
      <c r="M64" s="130"/>
      <c r="N64" s="67">
        <f t="shared" si="3"/>
        <v>0</v>
      </c>
      <c r="O64" s="67">
        <f t="shared" si="4"/>
        <v>0</v>
      </c>
      <c r="P64" s="4"/>
    </row>
    <row r="65" spans="2:16">
      <c r="B65" t="str">
        <f t="shared" si="0"/>
        <v/>
      </c>
      <c r="C65" s="62">
        <f>IF(D11="","-",+C64+1)</f>
        <v>2070</v>
      </c>
      <c r="D65" s="71">
        <f>IF(F64+SUM(E$17:E64)=D$10,F64,D$10-SUM(E$17:E64))</f>
        <v>0</v>
      </c>
      <c r="E65" s="69">
        <f t="shared" si="5"/>
        <v>0</v>
      </c>
      <c r="F65" s="68">
        <f t="shared" si="6"/>
        <v>0</v>
      </c>
      <c r="G65" s="72">
        <f t="shared" si="7"/>
        <v>0</v>
      </c>
      <c r="H65" s="52">
        <f t="shared" si="8"/>
        <v>0</v>
      </c>
      <c r="I65" s="65">
        <f t="shared" si="1"/>
        <v>0</v>
      </c>
      <c r="J65" s="65"/>
      <c r="K65" s="130"/>
      <c r="L65" s="67">
        <f t="shared" si="9"/>
        <v>0</v>
      </c>
      <c r="M65" s="130"/>
      <c r="N65" s="67">
        <f t="shared" si="3"/>
        <v>0</v>
      </c>
      <c r="O65" s="67">
        <f t="shared" si="4"/>
        <v>0</v>
      </c>
      <c r="P65" s="4"/>
    </row>
    <row r="66" spans="2:16">
      <c r="B66" t="str">
        <f t="shared" si="0"/>
        <v/>
      </c>
      <c r="C66" s="62">
        <f>IF(D11="","-",+C65+1)</f>
        <v>2071</v>
      </c>
      <c r="D66" s="71">
        <f>IF(F65+SUM(E$17:E65)=D$10,F65,D$10-SUM(E$17:E65))</f>
        <v>0</v>
      </c>
      <c r="E66" s="69">
        <f t="shared" si="5"/>
        <v>0</v>
      </c>
      <c r="F66" s="68">
        <f t="shared" si="6"/>
        <v>0</v>
      </c>
      <c r="G66" s="72">
        <f t="shared" si="7"/>
        <v>0</v>
      </c>
      <c r="H66" s="52">
        <f t="shared" si="8"/>
        <v>0</v>
      </c>
      <c r="I66" s="65">
        <f t="shared" si="1"/>
        <v>0</v>
      </c>
      <c r="J66" s="65"/>
      <c r="K66" s="130"/>
      <c r="L66" s="67">
        <f t="shared" si="9"/>
        <v>0</v>
      </c>
      <c r="M66" s="130"/>
      <c r="N66" s="67">
        <f t="shared" si="3"/>
        <v>0</v>
      </c>
      <c r="O66" s="67">
        <f t="shared" si="4"/>
        <v>0</v>
      </c>
      <c r="P66" s="4"/>
    </row>
    <row r="67" spans="2:16">
      <c r="B67" t="str">
        <f t="shared" si="0"/>
        <v/>
      </c>
      <c r="C67" s="62">
        <f>IF(D11="","-",+C66+1)</f>
        <v>2072</v>
      </c>
      <c r="D67" s="71">
        <f>IF(F66+SUM(E$17:E66)=D$10,F66,D$10-SUM(E$17:E66))</f>
        <v>0</v>
      </c>
      <c r="E67" s="69">
        <f t="shared" si="5"/>
        <v>0</v>
      </c>
      <c r="F67" s="68">
        <f t="shared" si="6"/>
        <v>0</v>
      </c>
      <c r="G67" s="72">
        <f t="shared" si="7"/>
        <v>0</v>
      </c>
      <c r="H67" s="52">
        <f t="shared" si="8"/>
        <v>0</v>
      </c>
      <c r="I67" s="65">
        <f t="shared" si="1"/>
        <v>0</v>
      </c>
      <c r="J67" s="65"/>
      <c r="K67" s="130"/>
      <c r="L67" s="67">
        <f t="shared" si="9"/>
        <v>0</v>
      </c>
      <c r="M67" s="130"/>
      <c r="N67" s="67">
        <f t="shared" si="3"/>
        <v>0</v>
      </c>
      <c r="O67" s="67">
        <f t="shared" si="4"/>
        <v>0</v>
      </c>
      <c r="P67" s="4"/>
    </row>
    <row r="68" spans="2:16">
      <c r="B68" t="str">
        <f t="shared" si="0"/>
        <v/>
      </c>
      <c r="C68" s="62">
        <f>IF(D11="","-",+C67+1)</f>
        <v>2073</v>
      </c>
      <c r="D68" s="71">
        <f>IF(F67+SUM(E$17:E67)=D$10,F67,D$10-SUM(E$17:E67))</f>
        <v>0</v>
      </c>
      <c r="E68" s="69">
        <f t="shared" si="5"/>
        <v>0</v>
      </c>
      <c r="F68" s="68">
        <f t="shared" si="6"/>
        <v>0</v>
      </c>
      <c r="G68" s="72">
        <f t="shared" si="7"/>
        <v>0</v>
      </c>
      <c r="H68" s="52">
        <f t="shared" si="8"/>
        <v>0</v>
      </c>
      <c r="I68" s="65">
        <f t="shared" si="1"/>
        <v>0</v>
      </c>
      <c r="J68" s="65"/>
      <c r="K68" s="130"/>
      <c r="L68" s="67">
        <f t="shared" si="9"/>
        <v>0</v>
      </c>
      <c r="M68" s="130"/>
      <c r="N68" s="67">
        <f t="shared" si="3"/>
        <v>0</v>
      </c>
      <c r="O68" s="67">
        <f t="shared" si="4"/>
        <v>0</v>
      </c>
      <c r="P68" s="4"/>
    </row>
    <row r="69" spans="2:16">
      <c r="B69" t="str">
        <f t="shared" si="0"/>
        <v/>
      </c>
      <c r="C69" s="62">
        <f>IF(D11="","-",+C68+1)</f>
        <v>2074</v>
      </c>
      <c r="D69" s="71">
        <f>IF(F68+SUM(E$17:E68)=D$10,F68,D$10-SUM(E$17:E68))</f>
        <v>0</v>
      </c>
      <c r="E69" s="69">
        <f t="shared" si="5"/>
        <v>0</v>
      </c>
      <c r="F69" s="68">
        <f t="shared" si="6"/>
        <v>0</v>
      </c>
      <c r="G69" s="72">
        <f t="shared" si="7"/>
        <v>0</v>
      </c>
      <c r="H69" s="52">
        <f t="shared" si="8"/>
        <v>0</v>
      </c>
      <c r="I69" s="65">
        <f t="shared" si="1"/>
        <v>0</v>
      </c>
      <c r="J69" s="65"/>
      <c r="K69" s="130"/>
      <c r="L69" s="67">
        <f t="shared" si="9"/>
        <v>0</v>
      </c>
      <c r="M69" s="130"/>
      <c r="N69" s="67">
        <f t="shared" si="3"/>
        <v>0</v>
      </c>
      <c r="O69" s="67">
        <f t="shared" si="4"/>
        <v>0</v>
      </c>
      <c r="P69" s="4"/>
    </row>
    <row r="70" spans="2:16">
      <c r="B70" t="str">
        <f t="shared" si="0"/>
        <v/>
      </c>
      <c r="C70" s="62">
        <f>IF(D11="","-",+C69+1)</f>
        <v>2075</v>
      </c>
      <c r="D70" s="71">
        <f>IF(F69+SUM(E$17:E69)=D$10,F69,D$10-SUM(E$17:E69))</f>
        <v>0</v>
      </c>
      <c r="E70" s="69">
        <f t="shared" si="5"/>
        <v>0</v>
      </c>
      <c r="F70" s="68">
        <f t="shared" si="6"/>
        <v>0</v>
      </c>
      <c r="G70" s="72">
        <f t="shared" si="7"/>
        <v>0</v>
      </c>
      <c r="H70" s="52">
        <f t="shared" si="8"/>
        <v>0</v>
      </c>
      <c r="I70" s="65">
        <f t="shared" si="1"/>
        <v>0</v>
      </c>
      <c r="J70" s="65"/>
      <c r="K70" s="130"/>
      <c r="L70" s="67">
        <f t="shared" si="9"/>
        <v>0</v>
      </c>
      <c r="M70" s="130"/>
      <c r="N70" s="67">
        <f t="shared" si="3"/>
        <v>0</v>
      </c>
      <c r="O70" s="67">
        <f t="shared" si="4"/>
        <v>0</v>
      </c>
      <c r="P70" s="4"/>
    </row>
    <row r="71" spans="2:16">
      <c r="B71" t="str">
        <f t="shared" si="0"/>
        <v/>
      </c>
      <c r="C71" s="62">
        <f>IF(D11="","-",+C70+1)</f>
        <v>2076</v>
      </c>
      <c r="D71" s="71">
        <f>IF(F70+SUM(E$17:E70)=D$10,F70,D$10-SUM(E$17:E70))</f>
        <v>0</v>
      </c>
      <c r="E71" s="69">
        <f t="shared" si="5"/>
        <v>0</v>
      </c>
      <c r="F71" s="68">
        <f t="shared" si="6"/>
        <v>0</v>
      </c>
      <c r="G71" s="72">
        <f t="shared" si="7"/>
        <v>0</v>
      </c>
      <c r="H71" s="52">
        <f t="shared" si="8"/>
        <v>0</v>
      </c>
      <c r="I71" s="65">
        <f t="shared" si="1"/>
        <v>0</v>
      </c>
      <c r="J71" s="65"/>
      <c r="K71" s="130"/>
      <c r="L71" s="67">
        <f t="shared" si="9"/>
        <v>0</v>
      </c>
      <c r="M71" s="130"/>
      <c r="N71" s="67">
        <f t="shared" si="3"/>
        <v>0</v>
      </c>
      <c r="O71" s="67">
        <f t="shared" si="4"/>
        <v>0</v>
      </c>
      <c r="P71" s="4"/>
    </row>
    <row r="72" spans="2:16">
      <c r="C72" s="62">
        <f>IF(D12="","-",+C71+1)</f>
        <v>2077</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5" thickBot="1">
      <c r="B73" t="str">
        <f>IF(D73=F71,"","IU")</f>
        <v/>
      </c>
      <c r="C73" s="73">
        <f>IF(D13="","-",+C72+1)</f>
        <v>2078</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c r="C74" s="63" t="s">
        <v>75</v>
      </c>
      <c r="D74" s="19"/>
      <c r="E74" s="19">
        <f>SUM(E17:E73)</f>
        <v>6050258</v>
      </c>
      <c r="F74" s="19"/>
      <c r="G74" s="19">
        <f>SUM(G17:G73)</f>
        <v>17737981.195717096</v>
      </c>
      <c r="H74" s="19">
        <f>SUM(H17:H73)</f>
        <v>17737981.195717096</v>
      </c>
      <c r="I74" s="19">
        <f>SUM(I17:I73)</f>
        <v>0</v>
      </c>
      <c r="J74" s="19"/>
      <c r="K74" s="19"/>
      <c r="L74" s="19"/>
      <c r="M74" s="19"/>
      <c r="N74" s="19"/>
      <c r="O74" s="4"/>
      <c r="P74" s="4"/>
    </row>
    <row r="75" spans="2:16">
      <c r="D75" s="2"/>
      <c r="E75" s="1"/>
      <c r="F75" s="1"/>
      <c r="G75" s="1"/>
      <c r="H75" s="3"/>
      <c r="I75" s="3"/>
      <c r="J75" s="19"/>
      <c r="K75" s="3"/>
      <c r="L75" s="3"/>
      <c r="M75" s="3"/>
      <c r="N75" s="3"/>
      <c r="O75" s="1"/>
      <c r="P75" s="1"/>
    </row>
    <row r="76" spans="2:16">
      <c r="C76" s="79" t="s">
        <v>95</v>
      </c>
      <c r="D76" s="2"/>
      <c r="E76" s="1"/>
      <c r="F76" s="1"/>
      <c r="G76" s="1"/>
      <c r="H76" s="3"/>
      <c r="I76" s="3"/>
      <c r="J76" s="19"/>
      <c r="K76" s="3"/>
      <c r="L76" s="3"/>
      <c r="M76" s="3"/>
      <c r="N76" s="3"/>
      <c r="O76" s="1"/>
      <c r="P76" s="1"/>
    </row>
    <row r="77" spans="2:16">
      <c r="C77" s="31" t="s">
        <v>76</v>
      </c>
      <c r="D77" s="2"/>
      <c r="E77" s="1"/>
      <c r="F77" s="1"/>
      <c r="G77" s="1"/>
      <c r="H77" s="3"/>
      <c r="I77" s="3"/>
      <c r="J77" s="19"/>
      <c r="K77" s="3"/>
      <c r="L77" s="3"/>
      <c r="M77" s="3"/>
      <c r="N77" s="3"/>
      <c r="O77" s="4"/>
      <c r="P77" s="4"/>
    </row>
    <row r="78" spans="2:16">
      <c r="C78" s="31" t="s">
        <v>77</v>
      </c>
      <c r="D78" s="63"/>
      <c r="E78" s="63"/>
      <c r="F78" s="63"/>
      <c r="G78" s="19"/>
      <c r="H78" s="19"/>
      <c r="I78" s="80"/>
      <c r="J78" s="80"/>
      <c r="K78" s="80"/>
      <c r="L78" s="80"/>
      <c r="M78" s="80"/>
      <c r="N78" s="80"/>
      <c r="O78" s="4"/>
      <c r="P78" s="4"/>
    </row>
    <row r="79" spans="2:16">
      <c r="C79" s="31"/>
      <c r="D79" s="63"/>
      <c r="E79" s="63"/>
      <c r="F79" s="63"/>
      <c r="G79" s="19"/>
      <c r="H79" s="19"/>
      <c r="I79" s="80"/>
      <c r="J79" s="80"/>
      <c r="K79" s="80"/>
      <c r="L79" s="80"/>
      <c r="M79" s="80"/>
      <c r="N79" s="80"/>
      <c r="O79" s="4"/>
      <c r="P79" s="1"/>
    </row>
    <row r="80" spans="2:16">
      <c r="B80" s="1"/>
      <c r="C80" s="9"/>
      <c r="D80" s="2"/>
      <c r="E80" s="1"/>
      <c r="F80" s="17"/>
      <c r="G80" s="1"/>
      <c r="H80" s="3"/>
      <c r="I80" s="1"/>
      <c r="J80" s="4"/>
      <c r="K80" s="1"/>
      <c r="L80" s="1"/>
      <c r="M80" s="1"/>
      <c r="N80" s="1"/>
      <c r="O80" s="1"/>
      <c r="P80" s="1"/>
    </row>
    <row r="81" spans="1:16" ht="18">
      <c r="B81" s="1"/>
      <c r="C81" s="109"/>
      <c r="D81" s="2"/>
      <c r="E81" s="1"/>
      <c r="F81" s="17"/>
      <c r="G81" s="1"/>
      <c r="H81" s="3"/>
      <c r="I81" s="1"/>
      <c r="J81" s="4"/>
      <c r="K81" s="1"/>
      <c r="L81" s="1"/>
      <c r="M81" s="1"/>
      <c r="N81" s="1"/>
      <c r="P81" s="111" t="s">
        <v>128</v>
      </c>
    </row>
    <row r="82" spans="1:16">
      <c r="B82" s="1"/>
      <c r="C82" s="9"/>
      <c r="D82" s="2"/>
      <c r="E82" s="1"/>
      <c r="F82" s="17"/>
      <c r="G82" s="1"/>
      <c r="H82" s="3"/>
      <c r="I82" s="1"/>
      <c r="J82" s="4"/>
      <c r="K82" s="1"/>
      <c r="L82" s="1"/>
      <c r="M82" s="1"/>
      <c r="N82" s="1"/>
      <c r="O82" s="1"/>
      <c r="P82" s="1"/>
    </row>
    <row r="83" spans="1:16">
      <c r="B83" s="1"/>
      <c r="C83" s="9"/>
      <c r="D83" s="2"/>
      <c r="E83" s="1"/>
      <c r="F83" s="17"/>
      <c r="G83" s="1"/>
      <c r="H83" s="3"/>
      <c r="I83" s="1"/>
      <c r="J83" s="4"/>
      <c r="K83" s="1"/>
      <c r="L83" s="1"/>
      <c r="M83" s="1"/>
      <c r="N83" s="1"/>
      <c r="O83" s="1"/>
      <c r="P83" s="1"/>
    </row>
    <row r="84" spans="1:16" ht="20.25">
      <c r="A84" s="110" t="s">
        <v>190</v>
      </c>
      <c r="B84" s="1"/>
      <c r="C84" s="9"/>
      <c r="D84" s="2"/>
      <c r="E84" s="1"/>
      <c r="F84" s="14"/>
      <c r="G84" s="14"/>
      <c r="H84" s="1"/>
      <c r="I84" s="3"/>
      <c r="K84" s="7"/>
      <c r="L84" s="18"/>
      <c r="M84" s="18"/>
      <c r="P84" s="18" t="str">
        <f ca="1">P1</f>
        <v>OKT Project 22 of 23</v>
      </c>
    </row>
    <row r="85" spans="1:16" ht="18">
      <c r="B85" s="1"/>
      <c r="C85" s="1"/>
      <c r="D85" s="2"/>
      <c r="E85" s="1"/>
      <c r="F85" s="1"/>
      <c r="G85" s="1"/>
      <c r="H85" s="1"/>
      <c r="I85" s="3"/>
      <c r="J85" s="1"/>
      <c r="K85" s="4"/>
      <c r="L85" s="1"/>
      <c r="M85" s="1"/>
      <c r="P85" s="117" t="s">
        <v>132</v>
      </c>
    </row>
    <row r="86" spans="1:16" ht="18.75" thickBot="1">
      <c r="B86" s="5" t="s">
        <v>42</v>
      </c>
      <c r="C86" s="82" t="s">
        <v>81</v>
      </c>
      <c r="D86" s="2"/>
      <c r="E86" s="1"/>
      <c r="F86" s="1"/>
      <c r="G86" s="1"/>
      <c r="H86" s="1"/>
      <c r="I86" s="3"/>
      <c r="J86" s="3"/>
      <c r="K86" s="19"/>
      <c r="L86" s="3"/>
      <c r="M86" s="3"/>
      <c r="N86" s="3"/>
      <c r="O86" s="19"/>
      <c r="P86" s="1"/>
    </row>
    <row r="87" spans="1:16" ht="15.75" thickBot="1">
      <c r="C87" s="12"/>
      <c r="D87" s="2"/>
      <c r="E87" s="1"/>
      <c r="F87" s="1"/>
      <c r="G87" s="1"/>
      <c r="H87" s="1"/>
      <c r="I87" s="3"/>
      <c r="J87" s="3"/>
      <c r="K87" s="19"/>
      <c r="L87" s="118">
        <f>+J93</f>
        <v>2020</v>
      </c>
      <c r="M87" s="119" t="s">
        <v>9</v>
      </c>
      <c r="N87" s="120" t="s">
        <v>134</v>
      </c>
      <c r="O87" s="121" t="s">
        <v>11</v>
      </c>
      <c r="P87" s="1"/>
    </row>
    <row r="88" spans="1:16" ht="1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7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Pryor Junction 138/115 kV</v>
      </c>
      <c r="E90" s="1"/>
      <c r="F90" s="1"/>
      <c r="G90" s="1"/>
      <c r="H90" s="1"/>
      <c r="I90" s="3"/>
      <c r="J90" s="3"/>
      <c r="K90" s="126"/>
      <c r="L90" s="127" t="s">
        <v>135</v>
      </c>
      <c r="M90" s="88">
        <f>+M89-M88</f>
        <v>0</v>
      </c>
      <c r="N90" s="88">
        <f>+N89-N88</f>
        <v>0</v>
      </c>
      <c r="O90" s="89">
        <f>+O89-O88</f>
        <v>0</v>
      </c>
      <c r="P90" s="1"/>
    </row>
    <row r="91" spans="1:16" ht="13.5" thickBot="1">
      <c r="C91" s="79"/>
      <c r="D91" s="81" t="str">
        <f>IF(D8="","",D8)</f>
        <v/>
      </c>
      <c r="E91" s="17"/>
      <c r="F91" s="17"/>
      <c r="G91" s="17"/>
      <c r="H91" s="36"/>
      <c r="I91" s="3"/>
      <c r="J91" s="3"/>
      <c r="K91" s="19"/>
      <c r="L91" s="3"/>
      <c r="M91" s="3"/>
      <c r="N91" s="3"/>
      <c r="O91" s="19"/>
      <c r="P91" s="1"/>
    </row>
    <row r="92" spans="1:16" ht="13.5" thickBot="1">
      <c r="A92" s="16"/>
      <c r="C92" s="90" t="s">
        <v>83</v>
      </c>
      <c r="D92" s="105" t="str">
        <f>+D9</f>
        <v>TP2019132</v>
      </c>
      <c r="E92" s="91"/>
      <c r="F92" s="91"/>
      <c r="G92" s="91"/>
      <c r="H92" s="91"/>
      <c r="I92" s="91"/>
      <c r="J92" s="91"/>
      <c r="K92" s="92"/>
      <c r="P92" s="41"/>
    </row>
    <row r="93" spans="1:16">
      <c r="C93" s="46" t="s">
        <v>49</v>
      </c>
      <c r="D93" s="654">
        <v>0</v>
      </c>
      <c r="E93" s="9" t="s">
        <v>84</v>
      </c>
      <c r="H93" s="44"/>
      <c r="I93" s="44"/>
      <c r="J93" s="45">
        <f>+'OKT.WS.G.BPU.ATRR.True-up'!M16</f>
        <v>2020</v>
      </c>
      <c r="K93" s="40"/>
      <c r="L93" s="19" t="s">
        <v>85</v>
      </c>
      <c r="P93" s="4"/>
    </row>
    <row r="94" spans="1:16">
      <c r="C94" s="46" t="s">
        <v>52</v>
      </c>
      <c r="D94" s="102">
        <f>IF(D11="","",D11)</f>
        <v>2022</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c r="C95" s="46" t="s">
        <v>54</v>
      </c>
      <c r="D95" s="102">
        <f>IF(D12="","",D12)</f>
        <v>10</v>
      </c>
      <c r="E95" s="46" t="s">
        <v>55</v>
      </c>
      <c r="F95" s="44"/>
      <c r="G95" s="44"/>
      <c r="J95" s="50">
        <f>'OKT.WS.G.BPU.ATRR.True-up'!$F$81</f>
        <v>0.11475877389767174</v>
      </c>
      <c r="K95" s="51"/>
      <c r="L95" t="s">
        <v>86</v>
      </c>
      <c r="P95" s="4"/>
    </row>
    <row r="96" spans="1:16">
      <c r="C96" s="46" t="s">
        <v>57</v>
      </c>
      <c r="D96" s="48">
        <f>'OKT.WS.G.BPU.ATRR.True-up'!F$93</f>
        <v>21</v>
      </c>
      <c r="E96" s="46" t="s">
        <v>58</v>
      </c>
      <c r="F96" s="44"/>
      <c r="G96" s="44"/>
      <c r="J96" s="50">
        <f>IF(H88="",J95,'OKT.WS.G.BPU.ATRR.True-up'!$F$80)</f>
        <v>0.11475877389767174</v>
      </c>
      <c r="K96" s="10"/>
      <c r="L96" s="19" t="s">
        <v>59</v>
      </c>
      <c r="M96" s="10"/>
      <c r="N96" s="10"/>
      <c r="O96" s="10"/>
      <c r="P96" s="4"/>
    </row>
    <row r="97" spans="1:16" ht="13.5" thickBot="1">
      <c r="C97" s="46" t="s">
        <v>60</v>
      </c>
      <c r="D97" s="103" t="str">
        <f>+D14</f>
        <v>No</v>
      </c>
      <c r="E97" s="87" t="s">
        <v>62</v>
      </c>
      <c r="F97" s="93"/>
      <c r="G97" s="93"/>
      <c r="H97" s="94"/>
      <c r="I97" s="94"/>
      <c r="J97" s="34">
        <f>IF(D93=0,0,D93/D96)</f>
        <v>0</v>
      </c>
      <c r="K97" s="19"/>
      <c r="L97" s="19"/>
      <c r="M97" s="19"/>
      <c r="N97" s="19"/>
      <c r="O97" s="19"/>
      <c r="P97" s="4"/>
    </row>
    <row r="98" spans="1:16" ht="38.25">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c r="B100" t="str">
        <f t="shared" ref="B100:B155" si="10">IF(D100=F99,"","IU")</f>
        <v>IU</v>
      </c>
      <c r="C100" s="62">
        <f>IF(D94= "","-",D94)</f>
        <v>2022</v>
      </c>
      <c r="D100" s="63">
        <f>IF(D94=C100,0,IF(D93&lt;100000,0,D93))</f>
        <v>0</v>
      </c>
      <c r="E100" s="70">
        <f>IF(D93&lt;100000,0,J$97/12*(12-D95))</f>
        <v>0</v>
      </c>
      <c r="F100" s="68">
        <f>IF(D94=C100,+D93-E100,+D100-E100)</f>
        <v>0</v>
      </c>
      <c r="G100" s="98">
        <f>+(F100+D100)/2</f>
        <v>0</v>
      </c>
      <c r="H100" s="98">
        <f t="shared" ref="H100:H107" si="11">+J$95*G100+E100</f>
        <v>0</v>
      </c>
      <c r="I100" s="98">
        <f>+J$96*G100+E100</f>
        <v>0</v>
      </c>
      <c r="J100" s="67">
        <f t="shared" ref="J100:J131" si="12">+I100-H100</f>
        <v>0</v>
      </c>
      <c r="K100" s="67"/>
      <c r="L100" s="506">
        <f>+H100</f>
        <v>0</v>
      </c>
      <c r="M100" s="653">
        <f t="shared" ref="M100:M131" si="13">IF(L100&lt;&gt;0,+H100-L100,0)</f>
        <v>0</v>
      </c>
      <c r="N100" s="506">
        <f>+I100</f>
        <v>0</v>
      </c>
      <c r="O100" s="66">
        <f t="shared" ref="O100:O131" si="14">IF(N100&lt;&gt;0,+I100-N100,0)</f>
        <v>0</v>
      </c>
      <c r="P100" s="66">
        <f t="shared" ref="P100:P131" si="15">+O100-M100</f>
        <v>0</v>
      </c>
    </row>
    <row r="101" spans="1:16">
      <c r="B101" t="str">
        <f t="shared" si="10"/>
        <v/>
      </c>
      <c r="C101" s="62">
        <f>IF(D94="","-",+C100+1)</f>
        <v>2023</v>
      </c>
      <c r="D101" s="648">
        <f>IF(F100+SUM(E$100:E100)=D$93,F100,D$93-SUM(E$100:E100))</f>
        <v>0</v>
      </c>
      <c r="E101" s="509">
        <f t="shared" ref="E101:E155" si="16">IF(+J$97&lt;F100,J$97,D101)</f>
        <v>0</v>
      </c>
      <c r="F101" s="649">
        <f t="shared" ref="F101:F155" si="17">+D101-E101</f>
        <v>0</v>
      </c>
      <c r="G101" s="649">
        <f t="shared" ref="G101:G155" si="18">+(F101+D101)/2</f>
        <v>0</v>
      </c>
      <c r="H101" s="650">
        <f t="shared" ref="H101:H102" si="19">(D101+F101)/2*J$95+E101</f>
        <v>0</v>
      </c>
      <c r="I101" s="628">
        <f t="shared" ref="I101:I155" si="20">+J$96*G101+E101</f>
        <v>0</v>
      </c>
      <c r="J101" s="67">
        <f t="shared" si="12"/>
        <v>0</v>
      </c>
      <c r="K101" s="67"/>
      <c r="L101" s="130"/>
      <c r="M101" s="67">
        <f t="shared" si="13"/>
        <v>0</v>
      </c>
      <c r="N101" s="130"/>
      <c r="O101" s="67">
        <f t="shared" si="14"/>
        <v>0</v>
      </c>
      <c r="P101" s="67">
        <f t="shared" si="15"/>
        <v>0</v>
      </c>
    </row>
    <row r="102" spans="1:16">
      <c r="B102" t="str">
        <f t="shared" si="10"/>
        <v/>
      </c>
      <c r="C102" s="62">
        <f>IF(D94="","-",+C101+1)</f>
        <v>2024</v>
      </c>
      <c r="D102" s="648">
        <f>IF(F101+SUM(E$100:E101)=D$93,F101,D$93-SUM(E$100:E101))</f>
        <v>0</v>
      </c>
      <c r="E102" s="509">
        <f t="shared" si="16"/>
        <v>0</v>
      </c>
      <c r="F102" s="649">
        <f t="shared" si="17"/>
        <v>0</v>
      </c>
      <c r="G102" s="649">
        <f t="shared" si="18"/>
        <v>0</v>
      </c>
      <c r="H102" s="650">
        <f t="shared" si="19"/>
        <v>0</v>
      </c>
      <c r="I102" s="628">
        <f t="shared" si="20"/>
        <v>0</v>
      </c>
      <c r="J102" s="67">
        <f t="shared" si="12"/>
        <v>0</v>
      </c>
      <c r="K102" s="67"/>
      <c r="L102" s="130"/>
      <c r="M102" s="67">
        <f t="shared" si="13"/>
        <v>0</v>
      </c>
      <c r="N102" s="130"/>
      <c r="O102" s="67">
        <f t="shared" si="14"/>
        <v>0</v>
      </c>
      <c r="P102" s="67">
        <f t="shared" si="15"/>
        <v>0</v>
      </c>
    </row>
    <row r="103" spans="1:16">
      <c r="B103" t="str">
        <f t="shared" si="10"/>
        <v/>
      </c>
      <c r="C103" s="62">
        <f>IF(D94="","-",+C102+1)</f>
        <v>2025</v>
      </c>
      <c r="D103" s="63">
        <f>IF(F102+SUM(E$100:E102)=D$93,F102,D$93-SUM(E$100:E102))</f>
        <v>0</v>
      </c>
      <c r="E103" s="69">
        <f t="shared" si="16"/>
        <v>0</v>
      </c>
      <c r="F103" s="68">
        <f t="shared" si="17"/>
        <v>0</v>
      </c>
      <c r="G103" s="68">
        <f t="shared" si="18"/>
        <v>0</v>
      </c>
      <c r="H103" s="128">
        <f t="shared" si="11"/>
        <v>0</v>
      </c>
      <c r="I103" s="137">
        <f t="shared" si="20"/>
        <v>0</v>
      </c>
      <c r="J103" s="67">
        <f t="shared" si="12"/>
        <v>0</v>
      </c>
      <c r="K103" s="67"/>
      <c r="L103" s="130"/>
      <c r="M103" s="67">
        <f t="shared" si="13"/>
        <v>0</v>
      </c>
      <c r="N103" s="130"/>
      <c r="O103" s="67">
        <f t="shared" si="14"/>
        <v>0</v>
      </c>
      <c r="P103" s="67">
        <f t="shared" si="15"/>
        <v>0</v>
      </c>
    </row>
    <row r="104" spans="1:16">
      <c r="B104" t="str">
        <f t="shared" si="10"/>
        <v/>
      </c>
      <c r="C104" s="62">
        <f>IF(D94="","-",+C103+1)</f>
        <v>2026</v>
      </c>
      <c r="D104" s="63">
        <f>IF(F103+SUM(E$100:E103)=D$93,F103,D$93-SUM(E$100:E103))</f>
        <v>0</v>
      </c>
      <c r="E104" s="69">
        <f t="shared" si="16"/>
        <v>0</v>
      </c>
      <c r="F104" s="68">
        <f t="shared" si="17"/>
        <v>0</v>
      </c>
      <c r="G104" s="68">
        <f t="shared" si="18"/>
        <v>0</v>
      </c>
      <c r="H104" s="128">
        <f t="shared" si="11"/>
        <v>0</v>
      </c>
      <c r="I104" s="137">
        <f t="shared" si="20"/>
        <v>0</v>
      </c>
      <c r="J104" s="67">
        <f t="shared" si="12"/>
        <v>0</v>
      </c>
      <c r="K104" s="67"/>
      <c r="L104" s="130"/>
      <c r="M104" s="67">
        <f t="shared" si="13"/>
        <v>0</v>
      </c>
      <c r="N104" s="130"/>
      <c r="O104" s="67">
        <f t="shared" si="14"/>
        <v>0</v>
      </c>
      <c r="P104" s="67">
        <f t="shared" si="15"/>
        <v>0</v>
      </c>
    </row>
    <row r="105" spans="1:16">
      <c r="B105" t="str">
        <f t="shared" si="10"/>
        <v/>
      </c>
      <c r="C105" s="62">
        <f>IF(D94="","-",+C104+1)</f>
        <v>2027</v>
      </c>
      <c r="D105" s="63">
        <f>IF(F104+SUM(E$100:E104)=D$93,F104,D$93-SUM(E$100:E104))</f>
        <v>0</v>
      </c>
      <c r="E105" s="69">
        <f t="shared" si="16"/>
        <v>0</v>
      </c>
      <c r="F105" s="68">
        <f t="shared" si="17"/>
        <v>0</v>
      </c>
      <c r="G105" s="68">
        <f t="shared" si="18"/>
        <v>0</v>
      </c>
      <c r="H105" s="128">
        <f t="shared" si="11"/>
        <v>0</v>
      </c>
      <c r="I105" s="137">
        <f t="shared" si="20"/>
        <v>0</v>
      </c>
      <c r="J105" s="67">
        <f t="shared" si="12"/>
        <v>0</v>
      </c>
      <c r="K105" s="67"/>
      <c r="L105" s="130"/>
      <c r="M105" s="67">
        <f t="shared" si="13"/>
        <v>0</v>
      </c>
      <c r="N105" s="130"/>
      <c r="O105" s="67">
        <f t="shared" si="14"/>
        <v>0</v>
      </c>
      <c r="P105" s="67">
        <f t="shared" si="15"/>
        <v>0</v>
      </c>
    </row>
    <row r="106" spans="1:16">
      <c r="B106" t="str">
        <f t="shared" si="10"/>
        <v/>
      </c>
      <c r="C106" s="62">
        <f>IF(D94="","-",+C105+1)</f>
        <v>2028</v>
      </c>
      <c r="D106" s="63">
        <f>IF(F105+SUM(E$100:E105)=D$93,F105,D$93-SUM(E$100:E105))</f>
        <v>0</v>
      </c>
      <c r="E106" s="69">
        <f t="shared" si="16"/>
        <v>0</v>
      </c>
      <c r="F106" s="68">
        <f t="shared" si="17"/>
        <v>0</v>
      </c>
      <c r="G106" s="68">
        <f t="shared" si="18"/>
        <v>0</v>
      </c>
      <c r="H106" s="128">
        <f t="shared" si="11"/>
        <v>0</v>
      </c>
      <c r="I106" s="137">
        <f t="shared" si="20"/>
        <v>0</v>
      </c>
      <c r="J106" s="67">
        <f t="shared" si="12"/>
        <v>0</v>
      </c>
      <c r="K106" s="67"/>
      <c r="L106" s="130"/>
      <c r="M106" s="67">
        <f t="shared" si="13"/>
        <v>0</v>
      </c>
      <c r="N106" s="130"/>
      <c r="O106" s="67">
        <f t="shared" si="14"/>
        <v>0</v>
      </c>
      <c r="P106" s="67">
        <f t="shared" si="15"/>
        <v>0</v>
      </c>
    </row>
    <row r="107" spans="1:16">
      <c r="B107" t="str">
        <f t="shared" si="10"/>
        <v/>
      </c>
      <c r="C107" s="62">
        <f>IF(D94="","-",+C106+1)</f>
        <v>2029</v>
      </c>
      <c r="D107" s="63">
        <f>IF(F106+SUM(E$100:E106)=D$93,F106,D$93-SUM(E$100:E106))</f>
        <v>0</v>
      </c>
      <c r="E107" s="69">
        <f t="shared" si="16"/>
        <v>0</v>
      </c>
      <c r="F107" s="68">
        <f t="shared" si="17"/>
        <v>0</v>
      </c>
      <c r="G107" s="68">
        <f t="shared" si="18"/>
        <v>0</v>
      </c>
      <c r="H107" s="128">
        <f t="shared" si="11"/>
        <v>0</v>
      </c>
      <c r="I107" s="137">
        <f t="shared" si="20"/>
        <v>0</v>
      </c>
      <c r="J107" s="67">
        <f t="shared" si="12"/>
        <v>0</v>
      </c>
      <c r="K107" s="67"/>
      <c r="L107" s="130"/>
      <c r="M107" s="67">
        <f t="shared" si="13"/>
        <v>0</v>
      </c>
      <c r="N107" s="130"/>
      <c r="O107" s="67">
        <f t="shared" si="14"/>
        <v>0</v>
      </c>
      <c r="P107" s="67">
        <f t="shared" si="15"/>
        <v>0</v>
      </c>
    </row>
    <row r="108" spans="1:16">
      <c r="B108" t="str">
        <f t="shared" si="10"/>
        <v/>
      </c>
      <c r="C108" s="62">
        <f>IF(D94="","-",+C107+1)</f>
        <v>2030</v>
      </c>
      <c r="D108" s="648">
        <f>IF(F107+SUM(E$100:E107)=D$93,F107,D$93-SUM(E$100:E107))</f>
        <v>0</v>
      </c>
      <c r="E108" s="509">
        <f t="shared" si="16"/>
        <v>0</v>
      </c>
      <c r="F108" s="649">
        <f t="shared" si="17"/>
        <v>0</v>
      </c>
      <c r="G108" s="649">
        <f t="shared" si="18"/>
        <v>0</v>
      </c>
      <c r="H108" s="650">
        <f t="shared" ref="H108:H155" si="21">(D108+F108)/2*J$95+E108</f>
        <v>0</v>
      </c>
      <c r="I108" s="628">
        <f t="shared" si="20"/>
        <v>0</v>
      </c>
      <c r="J108" s="67">
        <f t="shared" si="12"/>
        <v>0</v>
      </c>
      <c r="K108" s="67"/>
      <c r="L108" s="130"/>
      <c r="M108" s="67">
        <f t="shared" si="13"/>
        <v>0</v>
      </c>
      <c r="N108" s="130"/>
      <c r="O108" s="67">
        <f t="shared" si="14"/>
        <v>0</v>
      </c>
      <c r="P108" s="67">
        <f t="shared" si="15"/>
        <v>0</v>
      </c>
    </row>
    <row r="109" spans="1:16">
      <c r="B109" t="str">
        <f t="shared" si="10"/>
        <v/>
      </c>
      <c r="C109" s="62">
        <f>IF(D94="","-",+C108+1)</f>
        <v>2031</v>
      </c>
      <c r="D109" s="648">
        <f>IF(F108+SUM(E$100:E108)=D$93,F108,D$93-SUM(E$100:E108))</f>
        <v>0</v>
      </c>
      <c r="E109" s="509">
        <f t="shared" si="16"/>
        <v>0</v>
      </c>
      <c r="F109" s="649">
        <f t="shared" si="17"/>
        <v>0</v>
      </c>
      <c r="G109" s="649">
        <f t="shared" si="18"/>
        <v>0</v>
      </c>
      <c r="H109" s="650">
        <f t="shared" si="21"/>
        <v>0</v>
      </c>
      <c r="I109" s="628">
        <f t="shared" si="20"/>
        <v>0</v>
      </c>
      <c r="J109" s="67">
        <f t="shared" si="12"/>
        <v>0</v>
      </c>
      <c r="K109" s="67"/>
      <c r="L109" s="130"/>
      <c r="M109" s="67">
        <f t="shared" si="13"/>
        <v>0</v>
      </c>
      <c r="N109" s="130"/>
      <c r="O109" s="67">
        <f t="shared" si="14"/>
        <v>0</v>
      </c>
      <c r="P109" s="67">
        <f t="shared" si="15"/>
        <v>0</v>
      </c>
    </row>
    <row r="110" spans="1:16">
      <c r="B110" t="str">
        <f t="shared" si="10"/>
        <v/>
      </c>
      <c r="C110" s="62">
        <f>IF(D94="","-",+C109+1)</f>
        <v>2032</v>
      </c>
      <c r="D110" s="648">
        <f>IF(F109+SUM(E$100:E109)=D$93,F109,D$93-SUM(E$100:E109))</f>
        <v>0</v>
      </c>
      <c r="E110" s="509">
        <f t="shared" si="16"/>
        <v>0</v>
      </c>
      <c r="F110" s="649">
        <f t="shared" si="17"/>
        <v>0</v>
      </c>
      <c r="G110" s="649">
        <f t="shared" si="18"/>
        <v>0</v>
      </c>
      <c r="H110" s="650">
        <f t="shared" si="21"/>
        <v>0</v>
      </c>
      <c r="I110" s="628">
        <f t="shared" si="20"/>
        <v>0</v>
      </c>
      <c r="J110" s="67">
        <f t="shared" si="12"/>
        <v>0</v>
      </c>
      <c r="K110" s="67"/>
      <c r="L110" s="130"/>
      <c r="M110" s="67">
        <f t="shared" si="13"/>
        <v>0</v>
      </c>
      <c r="N110" s="130"/>
      <c r="O110" s="67">
        <f t="shared" si="14"/>
        <v>0</v>
      </c>
      <c r="P110" s="67">
        <f t="shared" si="15"/>
        <v>0</v>
      </c>
    </row>
    <row r="111" spans="1:16">
      <c r="B111" t="str">
        <f t="shared" si="10"/>
        <v/>
      </c>
      <c r="C111" s="62">
        <f>IF(D94="","-",+C110+1)</f>
        <v>2033</v>
      </c>
      <c r="D111" s="648">
        <f>IF(F110+SUM(E$100:E110)=D$93,F110,D$93-SUM(E$100:E110))</f>
        <v>0</v>
      </c>
      <c r="E111" s="509">
        <f t="shared" si="16"/>
        <v>0</v>
      </c>
      <c r="F111" s="649">
        <f t="shared" si="17"/>
        <v>0</v>
      </c>
      <c r="G111" s="649">
        <f t="shared" si="18"/>
        <v>0</v>
      </c>
      <c r="H111" s="650">
        <f t="shared" si="21"/>
        <v>0</v>
      </c>
      <c r="I111" s="628">
        <f t="shared" si="20"/>
        <v>0</v>
      </c>
      <c r="J111" s="67">
        <f t="shared" si="12"/>
        <v>0</v>
      </c>
      <c r="K111" s="67"/>
      <c r="L111" s="130"/>
      <c r="M111" s="67">
        <f t="shared" si="13"/>
        <v>0</v>
      </c>
      <c r="N111" s="130"/>
      <c r="O111" s="67">
        <f t="shared" si="14"/>
        <v>0</v>
      </c>
      <c r="P111" s="67">
        <f t="shared" si="15"/>
        <v>0</v>
      </c>
    </row>
    <row r="112" spans="1:16">
      <c r="B112" t="str">
        <f t="shared" si="10"/>
        <v/>
      </c>
      <c r="C112" s="62">
        <f>IF(D94="","-",+C111+1)</f>
        <v>2034</v>
      </c>
      <c r="D112" s="648">
        <f>IF(F111+SUM(E$100:E111)=D$93,F111,D$93-SUM(E$100:E111))</f>
        <v>0</v>
      </c>
      <c r="E112" s="509">
        <f t="shared" si="16"/>
        <v>0</v>
      </c>
      <c r="F112" s="649">
        <f t="shared" si="17"/>
        <v>0</v>
      </c>
      <c r="G112" s="649">
        <f t="shared" si="18"/>
        <v>0</v>
      </c>
      <c r="H112" s="650">
        <f t="shared" si="21"/>
        <v>0</v>
      </c>
      <c r="I112" s="628">
        <f t="shared" si="20"/>
        <v>0</v>
      </c>
      <c r="J112" s="67">
        <f t="shared" si="12"/>
        <v>0</v>
      </c>
      <c r="K112" s="67"/>
      <c r="L112" s="130"/>
      <c r="M112" s="67">
        <f t="shared" si="13"/>
        <v>0</v>
      </c>
      <c r="N112" s="130"/>
      <c r="O112" s="67">
        <f t="shared" si="14"/>
        <v>0</v>
      </c>
      <c r="P112" s="67">
        <f t="shared" si="15"/>
        <v>0</v>
      </c>
    </row>
    <row r="113" spans="2:16">
      <c r="B113" t="str">
        <f t="shared" si="10"/>
        <v/>
      </c>
      <c r="C113" s="62">
        <f>IF(D94="","-",+C112+1)</f>
        <v>2035</v>
      </c>
      <c r="D113" s="648">
        <f>IF(F112+SUM(E$100:E112)=D$93,F112,D$93-SUM(E$100:E112))</f>
        <v>0</v>
      </c>
      <c r="E113" s="509">
        <f t="shared" si="16"/>
        <v>0</v>
      </c>
      <c r="F113" s="649">
        <f t="shared" si="17"/>
        <v>0</v>
      </c>
      <c r="G113" s="649">
        <f t="shared" si="18"/>
        <v>0</v>
      </c>
      <c r="H113" s="650">
        <f t="shared" si="21"/>
        <v>0</v>
      </c>
      <c r="I113" s="628">
        <f t="shared" si="20"/>
        <v>0</v>
      </c>
      <c r="J113" s="67">
        <f t="shared" si="12"/>
        <v>0</v>
      </c>
      <c r="K113" s="67"/>
      <c r="L113" s="130"/>
      <c r="M113" s="67">
        <f t="shared" si="13"/>
        <v>0</v>
      </c>
      <c r="N113" s="130"/>
      <c r="O113" s="67">
        <f t="shared" si="14"/>
        <v>0</v>
      </c>
      <c r="P113" s="67">
        <f t="shared" si="15"/>
        <v>0</v>
      </c>
    </row>
    <row r="114" spans="2:16">
      <c r="B114" t="str">
        <f t="shared" si="10"/>
        <v/>
      </c>
      <c r="C114" s="62">
        <f>IF(D94="","-",+C113+1)</f>
        <v>2036</v>
      </c>
      <c r="D114" s="648">
        <f>IF(F113+SUM(E$100:E113)=D$93,F113,D$93-SUM(E$100:E113))</f>
        <v>0</v>
      </c>
      <c r="E114" s="509">
        <f t="shared" si="16"/>
        <v>0</v>
      </c>
      <c r="F114" s="649">
        <f t="shared" si="17"/>
        <v>0</v>
      </c>
      <c r="G114" s="649">
        <f t="shared" si="18"/>
        <v>0</v>
      </c>
      <c r="H114" s="650">
        <f t="shared" si="21"/>
        <v>0</v>
      </c>
      <c r="I114" s="628">
        <f t="shared" si="20"/>
        <v>0</v>
      </c>
      <c r="J114" s="67">
        <f t="shared" si="12"/>
        <v>0</v>
      </c>
      <c r="K114" s="67"/>
      <c r="L114" s="130"/>
      <c r="M114" s="67">
        <f t="shared" si="13"/>
        <v>0</v>
      </c>
      <c r="N114" s="130"/>
      <c r="O114" s="67">
        <f t="shared" si="14"/>
        <v>0</v>
      </c>
      <c r="P114" s="67">
        <f t="shared" si="15"/>
        <v>0</v>
      </c>
    </row>
    <row r="115" spans="2:16">
      <c r="B115" t="str">
        <f t="shared" si="10"/>
        <v/>
      </c>
      <c r="C115" s="62">
        <f>IF(D94="","-",+C114+1)</f>
        <v>2037</v>
      </c>
      <c r="D115" s="648">
        <f>IF(F114+SUM(E$100:E114)=D$93,F114,D$93-SUM(E$100:E114))</f>
        <v>0</v>
      </c>
      <c r="E115" s="509">
        <f t="shared" si="16"/>
        <v>0</v>
      </c>
      <c r="F115" s="649">
        <f t="shared" si="17"/>
        <v>0</v>
      </c>
      <c r="G115" s="649">
        <f t="shared" si="18"/>
        <v>0</v>
      </c>
      <c r="H115" s="650">
        <f t="shared" si="21"/>
        <v>0</v>
      </c>
      <c r="I115" s="628">
        <f t="shared" si="20"/>
        <v>0</v>
      </c>
      <c r="J115" s="67">
        <f t="shared" si="12"/>
        <v>0</v>
      </c>
      <c r="K115" s="67"/>
      <c r="L115" s="130"/>
      <c r="M115" s="67">
        <f t="shared" si="13"/>
        <v>0</v>
      </c>
      <c r="N115" s="130"/>
      <c r="O115" s="67">
        <f t="shared" si="14"/>
        <v>0</v>
      </c>
      <c r="P115" s="67">
        <f t="shared" si="15"/>
        <v>0</v>
      </c>
    </row>
    <row r="116" spans="2:16">
      <c r="B116" t="str">
        <f t="shared" si="10"/>
        <v/>
      </c>
      <c r="C116" s="62">
        <f>IF(D94="","-",+C115+1)</f>
        <v>2038</v>
      </c>
      <c r="D116" s="648">
        <f>IF(F115+SUM(E$100:E115)=D$93,F115,D$93-SUM(E$100:E115))</f>
        <v>0</v>
      </c>
      <c r="E116" s="509">
        <f t="shared" si="16"/>
        <v>0</v>
      </c>
      <c r="F116" s="649">
        <f t="shared" si="17"/>
        <v>0</v>
      </c>
      <c r="G116" s="649">
        <f t="shared" si="18"/>
        <v>0</v>
      </c>
      <c r="H116" s="650">
        <f t="shared" si="21"/>
        <v>0</v>
      </c>
      <c r="I116" s="628">
        <f t="shared" si="20"/>
        <v>0</v>
      </c>
      <c r="J116" s="67">
        <f t="shared" si="12"/>
        <v>0</v>
      </c>
      <c r="K116" s="67"/>
      <c r="L116" s="130"/>
      <c r="M116" s="67">
        <f t="shared" si="13"/>
        <v>0</v>
      </c>
      <c r="N116" s="130"/>
      <c r="O116" s="67">
        <f t="shared" si="14"/>
        <v>0</v>
      </c>
      <c r="P116" s="67">
        <f t="shared" si="15"/>
        <v>0</v>
      </c>
    </row>
    <row r="117" spans="2:16">
      <c r="B117" t="str">
        <f t="shared" si="10"/>
        <v/>
      </c>
      <c r="C117" s="62">
        <f>IF(D94="","-",+C116+1)</f>
        <v>2039</v>
      </c>
      <c r="D117" s="648">
        <f>IF(F116+SUM(E$100:E116)=D$93,F116,D$93-SUM(E$100:E116))</f>
        <v>0</v>
      </c>
      <c r="E117" s="509">
        <f t="shared" si="16"/>
        <v>0</v>
      </c>
      <c r="F117" s="649">
        <f t="shared" si="17"/>
        <v>0</v>
      </c>
      <c r="G117" s="649">
        <f t="shared" si="18"/>
        <v>0</v>
      </c>
      <c r="H117" s="650">
        <f t="shared" si="21"/>
        <v>0</v>
      </c>
      <c r="I117" s="628">
        <f t="shared" si="20"/>
        <v>0</v>
      </c>
      <c r="J117" s="67">
        <f t="shared" si="12"/>
        <v>0</v>
      </c>
      <c r="K117" s="67"/>
      <c r="L117" s="130"/>
      <c r="M117" s="67">
        <f t="shared" si="13"/>
        <v>0</v>
      </c>
      <c r="N117" s="130"/>
      <c r="O117" s="67">
        <f t="shared" si="14"/>
        <v>0</v>
      </c>
      <c r="P117" s="67">
        <f t="shared" si="15"/>
        <v>0</v>
      </c>
    </row>
    <row r="118" spans="2:16">
      <c r="B118" t="str">
        <f t="shared" si="10"/>
        <v/>
      </c>
      <c r="C118" s="62">
        <f>IF(D94="","-",+C117+1)</f>
        <v>2040</v>
      </c>
      <c r="D118" s="648">
        <f>IF(F117+SUM(E$100:E117)=D$93,F117,D$93-SUM(E$100:E117))</f>
        <v>0</v>
      </c>
      <c r="E118" s="509">
        <f t="shared" si="16"/>
        <v>0</v>
      </c>
      <c r="F118" s="649">
        <f t="shared" si="17"/>
        <v>0</v>
      </c>
      <c r="G118" s="649">
        <f t="shared" si="18"/>
        <v>0</v>
      </c>
      <c r="H118" s="650">
        <f t="shared" si="21"/>
        <v>0</v>
      </c>
      <c r="I118" s="628">
        <f t="shared" si="20"/>
        <v>0</v>
      </c>
      <c r="J118" s="67">
        <f t="shared" si="12"/>
        <v>0</v>
      </c>
      <c r="K118" s="67"/>
      <c r="L118" s="130"/>
      <c r="M118" s="67">
        <f t="shared" si="13"/>
        <v>0</v>
      </c>
      <c r="N118" s="130"/>
      <c r="O118" s="67">
        <f t="shared" si="14"/>
        <v>0</v>
      </c>
      <c r="P118" s="67">
        <f t="shared" si="15"/>
        <v>0</v>
      </c>
    </row>
    <row r="119" spans="2:16">
      <c r="B119" t="str">
        <f t="shared" si="10"/>
        <v/>
      </c>
      <c r="C119" s="62">
        <f>IF(D94="","-",+C118+1)</f>
        <v>2041</v>
      </c>
      <c r="D119" s="648">
        <f>IF(F118+SUM(E$100:E118)=D$93,F118,D$93-SUM(E$100:E118))</f>
        <v>0</v>
      </c>
      <c r="E119" s="509">
        <f t="shared" si="16"/>
        <v>0</v>
      </c>
      <c r="F119" s="649">
        <f t="shared" si="17"/>
        <v>0</v>
      </c>
      <c r="G119" s="649">
        <f t="shared" si="18"/>
        <v>0</v>
      </c>
      <c r="H119" s="650">
        <f t="shared" si="21"/>
        <v>0</v>
      </c>
      <c r="I119" s="628">
        <f t="shared" si="20"/>
        <v>0</v>
      </c>
      <c r="J119" s="67">
        <f t="shared" si="12"/>
        <v>0</v>
      </c>
      <c r="K119" s="67"/>
      <c r="L119" s="130"/>
      <c r="M119" s="67">
        <f t="shared" si="13"/>
        <v>0</v>
      </c>
      <c r="N119" s="130"/>
      <c r="O119" s="67">
        <f t="shared" si="14"/>
        <v>0</v>
      </c>
      <c r="P119" s="67">
        <f t="shared" si="15"/>
        <v>0</v>
      </c>
    </row>
    <row r="120" spans="2:16">
      <c r="B120" t="str">
        <f t="shared" si="10"/>
        <v/>
      </c>
      <c r="C120" s="62">
        <f>IF(D94="","-",+C119+1)</f>
        <v>2042</v>
      </c>
      <c r="D120" s="648">
        <f>IF(F119+SUM(E$100:E119)=D$93,F119,D$93-SUM(E$100:E119))</f>
        <v>0</v>
      </c>
      <c r="E120" s="509">
        <f t="shared" si="16"/>
        <v>0</v>
      </c>
      <c r="F120" s="649">
        <f t="shared" si="17"/>
        <v>0</v>
      </c>
      <c r="G120" s="649">
        <f t="shared" si="18"/>
        <v>0</v>
      </c>
      <c r="H120" s="650">
        <f t="shared" si="21"/>
        <v>0</v>
      </c>
      <c r="I120" s="628">
        <f t="shared" si="20"/>
        <v>0</v>
      </c>
      <c r="J120" s="67">
        <f t="shared" si="12"/>
        <v>0</v>
      </c>
      <c r="K120" s="67"/>
      <c r="L120" s="130"/>
      <c r="M120" s="67">
        <f t="shared" si="13"/>
        <v>0</v>
      </c>
      <c r="N120" s="130"/>
      <c r="O120" s="67">
        <f t="shared" si="14"/>
        <v>0</v>
      </c>
      <c r="P120" s="67">
        <f t="shared" si="15"/>
        <v>0</v>
      </c>
    </row>
    <row r="121" spans="2:16">
      <c r="B121" t="str">
        <f t="shared" si="10"/>
        <v/>
      </c>
      <c r="C121" s="62">
        <f>IF(D94="","-",+C120+1)</f>
        <v>2043</v>
      </c>
      <c r="D121" s="648">
        <f>IF(F120+SUM(E$100:E120)=D$93,F120,D$93-SUM(E$100:E120))</f>
        <v>0</v>
      </c>
      <c r="E121" s="509">
        <f t="shared" si="16"/>
        <v>0</v>
      </c>
      <c r="F121" s="649">
        <f t="shared" si="17"/>
        <v>0</v>
      </c>
      <c r="G121" s="649">
        <f t="shared" si="18"/>
        <v>0</v>
      </c>
      <c r="H121" s="650">
        <f t="shared" si="21"/>
        <v>0</v>
      </c>
      <c r="I121" s="628">
        <f t="shared" si="20"/>
        <v>0</v>
      </c>
      <c r="J121" s="67">
        <f t="shared" si="12"/>
        <v>0</v>
      </c>
      <c r="K121" s="67"/>
      <c r="L121" s="130"/>
      <c r="M121" s="67">
        <f t="shared" si="13"/>
        <v>0</v>
      </c>
      <c r="N121" s="130"/>
      <c r="O121" s="67">
        <f t="shared" si="14"/>
        <v>0</v>
      </c>
      <c r="P121" s="67">
        <f t="shared" si="15"/>
        <v>0</v>
      </c>
    </row>
    <row r="122" spans="2:16">
      <c r="B122" t="str">
        <f t="shared" si="10"/>
        <v/>
      </c>
      <c r="C122" s="62">
        <f>IF(D94="","-",+C121+1)</f>
        <v>2044</v>
      </c>
      <c r="D122" s="648">
        <f>IF(F121+SUM(E$100:E121)=D$93,F121,D$93-SUM(E$100:E121))</f>
        <v>0</v>
      </c>
      <c r="E122" s="509">
        <f t="shared" si="16"/>
        <v>0</v>
      </c>
      <c r="F122" s="649">
        <f t="shared" si="17"/>
        <v>0</v>
      </c>
      <c r="G122" s="649">
        <f t="shared" si="18"/>
        <v>0</v>
      </c>
      <c r="H122" s="650">
        <f t="shared" si="21"/>
        <v>0</v>
      </c>
      <c r="I122" s="628">
        <f t="shared" si="20"/>
        <v>0</v>
      </c>
      <c r="J122" s="67">
        <f t="shared" si="12"/>
        <v>0</v>
      </c>
      <c r="K122" s="67"/>
      <c r="L122" s="130"/>
      <c r="M122" s="67">
        <f t="shared" si="13"/>
        <v>0</v>
      </c>
      <c r="N122" s="130"/>
      <c r="O122" s="67">
        <f t="shared" si="14"/>
        <v>0</v>
      </c>
      <c r="P122" s="67">
        <f t="shared" si="15"/>
        <v>0</v>
      </c>
    </row>
    <row r="123" spans="2:16">
      <c r="B123" t="str">
        <f t="shared" si="10"/>
        <v/>
      </c>
      <c r="C123" s="62">
        <f>IF(D94="","-",+C122+1)</f>
        <v>2045</v>
      </c>
      <c r="D123" s="648">
        <f>IF(F122+SUM(E$100:E122)=D$93,F122,D$93-SUM(E$100:E122))</f>
        <v>0</v>
      </c>
      <c r="E123" s="509">
        <f t="shared" si="16"/>
        <v>0</v>
      </c>
      <c r="F123" s="649">
        <f t="shared" si="17"/>
        <v>0</v>
      </c>
      <c r="G123" s="649">
        <f t="shared" si="18"/>
        <v>0</v>
      </c>
      <c r="H123" s="650">
        <f t="shared" si="21"/>
        <v>0</v>
      </c>
      <c r="I123" s="628">
        <f t="shared" si="20"/>
        <v>0</v>
      </c>
      <c r="J123" s="67">
        <f t="shared" si="12"/>
        <v>0</v>
      </c>
      <c r="K123" s="67"/>
      <c r="L123" s="130"/>
      <c r="M123" s="67">
        <f t="shared" si="13"/>
        <v>0</v>
      </c>
      <c r="N123" s="130"/>
      <c r="O123" s="67">
        <f t="shared" si="14"/>
        <v>0</v>
      </c>
      <c r="P123" s="67">
        <f t="shared" si="15"/>
        <v>0</v>
      </c>
    </row>
    <row r="124" spans="2:16">
      <c r="B124" t="str">
        <f t="shared" si="10"/>
        <v/>
      </c>
      <c r="C124" s="62">
        <f>IF(D94="","-",+C123+1)</f>
        <v>2046</v>
      </c>
      <c r="D124" s="648">
        <f>IF(F123+SUM(E$100:E123)=D$93,F123,D$93-SUM(E$100:E123))</f>
        <v>0</v>
      </c>
      <c r="E124" s="509">
        <f t="shared" si="16"/>
        <v>0</v>
      </c>
      <c r="F124" s="649">
        <f t="shared" si="17"/>
        <v>0</v>
      </c>
      <c r="G124" s="649">
        <f t="shared" si="18"/>
        <v>0</v>
      </c>
      <c r="H124" s="650">
        <f t="shared" si="21"/>
        <v>0</v>
      </c>
      <c r="I124" s="628">
        <f t="shared" si="20"/>
        <v>0</v>
      </c>
      <c r="J124" s="67">
        <f t="shared" si="12"/>
        <v>0</v>
      </c>
      <c r="K124" s="67"/>
      <c r="L124" s="130"/>
      <c r="M124" s="67">
        <f t="shared" si="13"/>
        <v>0</v>
      </c>
      <c r="N124" s="130"/>
      <c r="O124" s="67">
        <f t="shared" si="14"/>
        <v>0</v>
      </c>
      <c r="P124" s="67">
        <f t="shared" si="15"/>
        <v>0</v>
      </c>
    </row>
    <row r="125" spans="2:16">
      <c r="B125" t="str">
        <f t="shared" si="10"/>
        <v/>
      </c>
      <c r="C125" s="62">
        <f>IF(D94="","-",+C124+1)</f>
        <v>2047</v>
      </c>
      <c r="D125" s="648">
        <f>IF(F124+SUM(E$100:E124)=D$93,F124,D$93-SUM(E$100:E124))</f>
        <v>0</v>
      </c>
      <c r="E125" s="509">
        <f t="shared" si="16"/>
        <v>0</v>
      </c>
      <c r="F125" s="649">
        <f t="shared" si="17"/>
        <v>0</v>
      </c>
      <c r="G125" s="649">
        <f t="shared" si="18"/>
        <v>0</v>
      </c>
      <c r="H125" s="650">
        <f t="shared" si="21"/>
        <v>0</v>
      </c>
      <c r="I125" s="628">
        <f t="shared" si="20"/>
        <v>0</v>
      </c>
      <c r="J125" s="67">
        <f t="shared" si="12"/>
        <v>0</v>
      </c>
      <c r="K125" s="67"/>
      <c r="L125" s="130"/>
      <c r="M125" s="67">
        <f t="shared" si="13"/>
        <v>0</v>
      </c>
      <c r="N125" s="130"/>
      <c r="O125" s="67">
        <f t="shared" si="14"/>
        <v>0</v>
      </c>
      <c r="P125" s="67">
        <f t="shared" si="15"/>
        <v>0</v>
      </c>
    </row>
    <row r="126" spans="2:16">
      <c r="B126" t="str">
        <f t="shared" si="10"/>
        <v/>
      </c>
      <c r="C126" s="62">
        <f>IF(D94="","-",+C125+1)</f>
        <v>2048</v>
      </c>
      <c r="D126" s="648">
        <f>IF(F125+SUM(E$100:E125)=D$93,F125,D$93-SUM(E$100:E125))</f>
        <v>0</v>
      </c>
      <c r="E126" s="509">
        <f t="shared" si="16"/>
        <v>0</v>
      </c>
      <c r="F126" s="649">
        <f t="shared" si="17"/>
        <v>0</v>
      </c>
      <c r="G126" s="649">
        <f t="shared" si="18"/>
        <v>0</v>
      </c>
      <c r="H126" s="650">
        <f t="shared" si="21"/>
        <v>0</v>
      </c>
      <c r="I126" s="628">
        <f t="shared" si="20"/>
        <v>0</v>
      </c>
      <c r="J126" s="67">
        <f t="shared" si="12"/>
        <v>0</v>
      </c>
      <c r="K126" s="67"/>
      <c r="L126" s="130"/>
      <c r="M126" s="67">
        <f t="shared" si="13"/>
        <v>0</v>
      </c>
      <c r="N126" s="130"/>
      <c r="O126" s="67">
        <f t="shared" si="14"/>
        <v>0</v>
      </c>
      <c r="P126" s="67">
        <f t="shared" si="15"/>
        <v>0</v>
      </c>
    </row>
    <row r="127" spans="2:16">
      <c r="B127" t="str">
        <f t="shared" si="10"/>
        <v/>
      </c>
      <c r="C127" s="62">
        <f>IF(D94="","-",+C126+1)</f>
        <v>2049</v>
      </c>
      <c r="D127" s="648">
        <f>IF(F126+SUM(E$100:E126)=D$93,F126,D$93-SUM(E$100:E126))</f>
        <v>0</v>
      </c>
      <c r="E127" s="509">
        <f t="shared" si="16"/>
        <v>0</v>
      </c>
      <c r="F127" s="649">
        <f t="shared" si="17"/>
        <v>0</v>
      </c>
      <c r="G127" s="649">
        <f t="shared" si="18"/>
        <v>0</v>
      </c>
      <c r="H127" s="650">
        <f t="shared" si="21"/>
        <v>0</v>
      </c>
      <c r="I127" s="628">
        <f t="shared" si="20"/>
        <v>0</v>
      </c>
      <c r="J127" s="67">
        <f t="shared" si="12"/>
        <v>0</v>
      </c>
      <c r="K127" s="67"/>
      <c r="L127" s="130"/>
      <c r="M127" s="67">
        <f t="shared" si="13"/>
        <v>0</v>
      </c>
      <c r="N127" s="130"/>
      <c r="O127" s="67">
        <f t="shared" si="14"/>
        <v>0</v>
      </c>
      <c r="P127" s="67">
        <f t="shared" si="15"/>
        <v>0</v>
      </c>
    </row>
    <row r="128" spans="2:16">
      <c r="B128" t="str">
        <f t="shared" si="10"/>
        <v/>
      </c>
      <c r="C128" s="62">
        <f>IF(D94="","-",+C127+1)</f>
        <v>2050</v>
      </c>
      <c r="D128" s="648">
        <f>IF(F127+SUM(E$100:E127)=D$93,F127,D$93-SUM(E$100:E127))</f>
        <v>0</v>
      </c>
      <c r="E128" s="509">
        <f t="shared" si="16"/>
        <v>0</v>
      </c>
      <c r="F128" s="649">
        <f t="shared" si="17"/>
        <v>0</v>
      </c>
      <c r="G128" s="649">
        <f t="shared" si="18"/>
        <v>0</v>
      </c>
      <c r="H128" s="650">
        <f t="shared" si="21"/>
        <v>0</v>
      </c>
      <c r="I128" s="628">
        <f t="shared" si="20"/>
        <v>0</v>
      </c>
      <c r="J128" s="67">
        <f t="shared" si="12"/>
        <v>0</v>
      </c>
      <c r="K128" s="67"/>
      <c r="L128" s="130"/>
      <c r="M128" s="67">
        <f t="shared" si="13"/>
        <v>0</v>
      </c>
      <c r="N128" s="130"/>
      <c r="O128" s="67">
        <f t="shared" si="14"/>
        <v>0</v>
      </c>
      <c r="P128" s="67">
        <f t="shared" si="15"/>
        <v>0</v>
      </c>
    </row>
    <row r="129" spans="2:16">
      <c r="B129" t="str">
        <f t="shared" si="10"/>
        <v/>
      </c>
      <c r="C129" s="62">
        <f>IF(D94="","-",+C128+1)</f>
        <v>2051</v>
      </c>
      <c r="D129" s="648">
        <f>IF(F128+SUM(E$100:E128)=D$93,F128,D$93-SUM(E$100:E128))</f>
        <v>0</v>
      </c>
      <c r="E129" s="509">
        <f t="shared" si="16"/>
        <v>0</v>
      </c>
      <c r="F129" s="649">
        <f t="shared" si="17"/>
        <v>0</v>
      </c>
      <c r="G129" s="649">
        <f t="shared" si="18"/>
        <v>0</v>
      </c>
      <c r="H129" s="650">
        <f t="shared" si="21"/>
        <v>0</v>
      </c>
      <c r="I129" s="628">
        <f t="shared" si="20"/>
        <v>0</v>
      </c>
      <c r="J129" s="67">
        <f t="shared" si="12"/>
        <v>0</v>
      </c>
      <c r="K129" s="67"/>
      <c r="L129" s="130"/>
      <c r="M129" s="67">
        <f t="shared" si="13"/>
        <v>0</v>
      </c>
      <c r="N129" s="130"/>
      <c r="O129" s="67">
        <f t="shared" si="14"/>
        <v>0</v>
      </c>
      <c r="P129" s="67">
        <f t="shared" si="15"/>
        <v>0</v>
      </c>
    </row>
    <row r="130" spans="2:16">
      <c r="B130" t="str">
        <f t="shared" si="10"/>
        <v/>
      </c>
      <c r="C130" s="62">
        <f>IF(D94="","-",+C129+1)</f>
        <v>2052</v>
      </c>
      <c r="D130" s="648">
        <f>IF(F129+SUM(E$100:E129)=D$93,F129,D$93-SUM(E$100:E129))</f>
        <v>0</v>
      </c>
      <c r="E130" s="509">
        <f t="shared" si="16"/>
        <v>0</v>
      </c>
      <c r="F130" s="649">
        <f t="shared" si="17"/>
        <v>0</v>
      </c>
      <c r="G130" s="649">
        <f t="shared" si="18"/>
        <v>0</v>
      </c>
      <c r="H130" s="650">
        <f t="shared" si="21"/>
        <v>0</v>
      </c>
      <c r="I130" s="628">
        <f t="shared" si="20"/>
        <v>0</v>
      </c>
      <c r="J130" s="67">
        <f t="shared" si="12"/>
        <v>0</v>
      </c>
      <c r="K130" s="67"/>
      <c r="L130" s="130"/>
      <c r="M130" s="67">
        <f t="shared" si="13"/>
        <v>0</v>
      </c>
      <c r="N130" s="130"/>
      <c r="O130" s="67">
        <f t="shared" si="14"/>
        <v>0</v>
      </c>
      <c r="P130" s="67">
        <f t="shared" si="15"/>
        <v>0</v>
      </c>
    </row>
    <row r="131" spans="2:16">
      <c r="B131" t="str">
        <f t="shared" si="10"/>
        <v/>
      </c>
      <c r="C131" s="62">
        <f>IF(D94="","-",+C130+1)</f>
        <v>2053</v>
      </c>
      <c r="D131" s="648">
        <f>IF(F130+SUM(E$100:E130)=D$93,F130,D$93-SUM(E$100:E130))</f>
        <v>0</v>
      </c>
      <c r="E131" s="509">
        <f t="shared" si="16"/>
        <v>0</v>
      </c>
      <c r="F131" s="649">
        <f t="shared" si="17"/>
        <v>0</v>
      </c>
      <c r="G131" s="649">
        <f t="shared" si="18"/>
        <v>0</v>
      </c>
      <c r="H131" s="650">
        <f t="shared" si="21"/>
        <v>0</v>
      </c>
      <c r="I131" s="628">
        <f t="shared" si="20"/>
        <v>0</v>
      </c>
      <c r="J131" s="67">
        <f t="shared" si="12"/>
        <v>0</v>
      </c>
      <c r="K131" s="67"/>
      <c r="L131" s="130"/>
      <c r="M131" s="67">
        <f t="shared" si="13"/>
        <v>0</v>
      </c>
      <c r="N131" s="130"/>
      <c r="O131" s="67">
        <f t="shared" si="14"/>
        <v>0</v>
      </c>
      <c r="P131" s="67">
        <f t="shared" si="15"/>
        <v>0</v>
      </c>
    </row>
    <row r="132" spans="2:16">
      <c r="B132" t="str">
        <f t="shared" si="10"/>
        <v/>
      </c>
      <c r="C132" s="62">
        <f>IF(D94="","-",+C131+1)</f>
        <v>2054</v>
      </c>
      <c r="D132" s="648">
        <f>IF(F131+SUM(E$100:E131)=D$93,F131,D$93-SUM(E$100:E131))</f>
        <v>0</v>
      </c>
      <c r="E132" s="509">
        <f t="shared" si="16"/>
        <v>0</v>
      </c>
      <c r="F132" s="649">
        <f t="shared" si="17"/>
        <v>0</v>
      </c>
      <c r="G132" s="649">
        <f t="shared" si="18"/>
        <v>0</v>
      </c>
      <c r="H132" s="650">
        <f t="shared" si="21"/>
        <v>0</v>
      </c>
      <c r="I132" s="628">
        <f t="shared" si="20"/>
        <v>0</v>
      </c>
      <c r="J132" s="67">
        <f t="shared" ref="J132:J155" si="22">+I542-H542</f>
        <v>0</v>
      </c>
      <c r="K132" s="67"/>
      <c r="L132" s="130"/>
      <c r="M132" s="67">
        <f t="shared" ref="M132:M155" si="23">IF(L542&lt;&gt;0,+H542-L542,0)</f>
        <v>0</v>
      </c>
      <c r="N132" s="130"/>
      <c r="O132" s="67">
        <f t="shared" ref="O132:O155" si="24">IF(N542&lt;&gt;0,+I542-N542,0)</f>
        <v>0</v>
      </c>
      <c r="P132" s="67">
        <f t="shared" ref="P132:P155" si="25">+O542-M542</f>
        <v>0</v>
      </c>
    </row>
    <row r="133" spans="2:16">
      <c r="B133" t="str">
        <f t="shared" si="10"/>
        <v/>
      </c>
      <c r="C133" s="62">
        <f>IF(D94="","-",+C132+1)</f>
        <v>2055</v>
      </c>
      <c r="D133" s="648">
        <f>IF(F132+SUM(E$100:E132)=D$93,F132,D$93-SUM(E$100:E132))</f>
        <v>0</v>
      </c>
      <c r="E133" s="509">
        <f t="shared" si="16"/>
        <v>0</v>
      </c>
      <c r="F133" s="649">
        <f t="shared" si="17"/>
        <v>0</v>
      </c>
      <c r="G133" s="649">
        <f t="shared" si="18"/>
        <v>0</v>
      </c>
      <c r="H133" s="650">
        <f t="shared" si="21"/>
        <v>0</v>
      </c>
      <c r="I133" s="628">
        <f t="shared" si="20"/>
        <v>0</v>
      </c>
      <c r="J133" s="67">
        <f t="shared" si="22"/>
        <v>0</v>
      </c>
      <c r="K133" s="67"/>
      <c r="L133" s="130"/>
      <c r="M133" s="67">
        <f t="shared" si="23"/>
        <v>0</v>
      </c>
      <c r="N133" s="130"/>
      <c r="O133" s="67">
        <f t="shared" si="24"/>
        <v>0</v>
      </c>
      <c r="P133" s="67">
        <f t="shared" si="25"/>
        <v>0</v>
      </c>
    </row>
    <row r="134" spans="2:16">
      <c r="B134" t="str">
        <f t="shared" si="10"/>
        <v/>
      </c>
      <c r="C134" s="62">
        <f>IF(D94="","-",+C133+1)</f>
        <v>2056</v>
      </c>
      <c r="D134" s="648">
        <f>IF(F133+SUM(E$100:E133)=D$93,F133,D$93-SUM(E$100:E133))</f>
        <v>0</v>
      </c>
      <c r="E134" s="509">
        <f t="shared" si="16"/>
        <v>0</v>
      </c>
      <c r="F134" s="649">
        <f t="shared" si="17"/>
        <v>0</v>
      </c>
      <c r="G134" s="649">
        <f t="shared" si="18"/>
        <v>0</v>
      </c>
      <c r="H134" s="650">
        <f t="shared" si="21"/>
        <v>0</v>
      </c>
      <c r="I134" s="628">
        <f t="shared" si="20"/>
        <v>0</v>
      </c>
      <c r="J134" s="67">
        <f t="shared" si="22"/>
        <v>0</v>
      </c>
      <c r="K134" s="67"/>
      <c r="L134" s="130"/>
      <c r="M134" s="67">
        <f t="shared" si="23"/>
        <v>0</v>
      </c>
      <c r="N134" s="130"/>
      <c r="O134" s="67">
        <f t="shared" si="24"/>
        <v>0</v>
      </c>
      <c r="P134" s="67">
        <f t="shared" si="25"/>
        <v>0</v>
      </c>
    </row>
    <row r="135" spans="2:16">
      <c r="B135" t="str">
        <f t="shared" si="10"/>
        <v/>
      </c>
      <c r="C135" s="62">
        <f>IF(D94="","-",+C134+1)</f>
        <v>2057</v>
      </c>
      <c r="D135" s="648">
        <f>IF(F134+SUM(E$100:E134)=D$93,F134,D$93-SUM(E$100:E134))</f>
        <v>0</v>
      </c>
      <c r="E135" s="509">
        <f t="shared" si="16"/>
        <v>0</v>
      </c>
      <c r="F135" s="649">
        <f t="shared" si="17"/>
        <v>0</v>
      </c>
      <c r="G135" s="649">
        <f t="shared" si="18"/>
        <v>0</v>
      </c>
      <c r="H135" s="650">
        <f t="shared" si="21"/>
        <v>0</v>
      </c>
      <c r="I135" s="628">
        <f t="shared" si="20"/>
        <v>0</v>
      </c>
      <c r="J135" s="67">
        <f t="shared" si="22"/>
        <v>0</v>
      </c>
      <c r="K135" s="67"/>
      <c r="L135" s="130"/>
      <c r="M135" s="67">
        <f t="shared" si="23"/>
        <v>0</v>
      </c>
      <c r="N135" s="130"/>
      <c r="O135" s="67">
        <f t="shared" si="24"/>
        <v>0</v>
      </c>
      <c r="P135" s="67">
        <f t="shared" si="25"/>
        <v>0</v>
      </c>
    </row>
    <row r="136" spans="2:16">
      <c r="B136" t="str">
        <f t="shared" si="10"/>
        <v/>
      </c>
      <c r="C136" s="62">
        <f>IF(D94="","-",+C135+1)</f>
        <v>2058</v>
      </c>
      <c r="D136" s="648">
        <f>IF(F135+SUM(E$100:E135)=D$93,F135,D$93-SUM(E$100:E135))</f>
        <v>0</v>
      </c>
      <c r="E136" s="509">
        <f t="shared" si="16"/>
        <v>0</v>
      </c>
      <c r="F136" s="649">
        <f t="shared" si="17"/>
        <v>0</v>
      </c>
      <c r="G136" s="649">
        <f t="shared" si="18"/>
        <v>0</v>
      </c>
      <c r="H136" s="650">
        <f t="shared" si="21"/>
        <v>0</v>
      </c>
      <c r="I136" s="628">
        <f t="shared" si="20"/>
        <v>0</v>
      </c>
      <c r="J136" s="67">
        <f t="shared" si="22"/>
        <v>0</v>
      </c>
      <c r="K136" s="67"/>
      <c r="L136" s="130"/>
      <c r="M136" s="67">
        <f t="shared" si="23"/>
        <v>0</v>
      </c>
      <c r="N136" s="130"/>
      <c r="O136" s="67">
        <f t="shared" si="24"/>
        <v>0</v>
      </c>
      <c r="P136" s="67">
        <f t="shared" si="25"/>
        <v>0</v>
      </c>
    </row>
    <row r="137" spans="2:16">
      <c r="B137" t="str">
        <f t="shared" si="10"/>
        <v/>
      </c>
      <c r="C137" s="62">
        <f>IF(D94="","-",+C136+1)</f>
        <v>2059</v>
      </c>
      <c r="D137" s="648">
        <f>IF(F136+SUM(E$100:E136)=D$93,F136,D$93-SUM(E$100:E136))</f>
        <v>0</v>
      </c>
      <c r="E137" s="509">
        <f t="shared" si="16"/>
        <v>0</v>
      </c>
      <c r="F137" s="649">
        <f t="shared" si="17"/>
        <v>0</v>
      </c>
      <c r="G137" s="649">
        <f t="shared" si="18"/>
        <v>0</v>
      </c>
      <c r="H137" s="650">
        <f t="shared" si="21"/>
        <v>0</v>
      </c>
      <c r="I137" s="628">
        <f t="shared" si="20"/>
        <v>0</v>
      </c>
      <c r="J137" s="67">
        <f t="shared" si="22"/>
        <v>0</v>
      </c>
      <c r="K137" s="67"/>
      <c r="L137" s="130"/>
      <c r="M137" s="67">
        <f t="shared" si="23"/>
        <v>0</v>
      </c>
      <c r="N137" s="130"/>
      <c r="O137" s="67">
        <f t="shared" si="24"/>
        <v>0</v>
      </c>
      <c r="P137" s="67">
        <f t="shared" si="25"/>
        <v>0</v>
      </c>
    </row>
    <row r="138" spans="2:16">
      <c r="B138" t="str">
        <f t="shared" si="10"/>
        <v/>
      </c>
      <c r="C138" s="62">
        <f>IF(D94="","-",+C137+1)</f>
        <v>2060</v>
      </c>
      <c r="D138" s="648">
        <f>IF(F137+SUM(E$100:E137)=D$93,F137,D$93-SUM(E$100:E137))</f>
        <v>0</v>
      </c>
      <c r="E138" s="509">
        <f t="shared" si="16"/>
        <v>0</v>
      </c>
      <c r="F138" s="649">
        <f t="shared" si="17"/>
        <v>0</v>
      </c>
      <c r="G138" s="649">
        <f t="shared" si="18"/>
        <v>0</v>
      </c>
      <c r="H138" s="650">
        <f t="shared" si="21"/>
        <v>0</v>
      </c>
      <c r="I138" s="628">
        <f t="shared" si="20"/>
        <v>0</v>
      </c>
      <c r="J138" s="67">
        <f t="shared" si="22"/>
        <v>0</v>
      </c>
      <c r="K138" s="67"/>
      <c r="L138" s="130"/>
      <c r="M138" s="67">
        <f t="shared" si="23"/>
        <v>0</v>
      </c>
      <c r="N138" s="130"/>
      <c r="O138" s="67">
        <f t="shared" si="24"/>
        <v>0</v>
      </c>
      <c r="P138" s="67">
        <f t="shared" si="25"/>
        <v>0</v>
      </c>
    </row>
    <row r="139" spans="2:16">
      <c r="B139" t="str">
        <f t="shared" si="10"/>
        <v/>
      </c>
      <c r="C139" s="62">
        <f>IF(D94="","-",+C138+1)</f>
        <v>2061</v>
      </c>
      <c r="D139" s="648">
        <f>IF(F138+SUM(E$100:E138)=D$93,F138,D$93-SUM(E$100:E138))</f>
        <v>0</v>
      </c>
      <c r="E139" s="509">
        <f t="shared" si="16"/>
        <v>0</v>
      </c>
      <c r="F139" s="649">
        <f t="shared" si="17"/>
        <v>0</v>
      </c>
      <c r="G139" s="649">
        <f t="shared" si="18"/>
        <v>0</v>
      </c>
      <c r="H139" s="650">
        <f t="shared" si="21"/>
        <v>0</v>
      </c>
      <c r="I139" s="628">
        <f t="shared" si="20"/>
        <v>0</v>
      </c>
      <c r="J139" s="67">
        <f t="shared" si="22"/>
        <v>0</v>
      </c>
      <c r="K139" s="67"/>
      <c r="L139" s="130"/>
      <c r="M139" s="67">
        <f t="shared" si="23"/>
        <v>0</v>
      </c>
      <c r="N139" s="130"/>
      <c r="O139" s="67">
        <f t="shared" si="24"/>
        <v>0</v>
      </c>
      <c r="P139" s="67">
        <f t="shared" si="25"/>
        <v>0</v>
      </c>
    </row>
    <row r="140" spans="2:16">
      <c r="B140" t="str">
        <f t="shared" si="10"/>
        <v/>
      </c>
      <c r="C140" s="62">
        <f>IF(D94="","-",+C139+1)</f>
        <v>2062</v>
      </c>
      <c r="D140" s="648">
        <f>IF(F139+SUM(E$100:E139)=D$93,F139,D$93-SUM(E$100:E139))</f>
        <v>0</v>
      </c>
      <c r="E140" s="509">
        <f t="shared" si="16"/>
        <v>0</v>
      </c>
      <c r="F140" s="649">
        <f t="shared" si="17"/>
        <v>0</v>
      </c>
      <c r="G140" s="649">
        <f t="shared" si="18"/>
        <v>0</v>
      </c>
      <c r="H140" s="650">
        <f t="shared" si="21"/>
        <v>0</v>
      </c>
      <c r="I140" s="628">
        <f t="shared" si="20"/>
        <v>0</v>
      </c>
      <c r="J140" s="67">
        <f t="shared" si="22"/>
        <v>0</v>
      </c>
      <c r="K140" s="67"/>
      <c r="L140" s="130"/>
      <c r="M140" s="67">
        <f t="shared" si="23"/>
        <v>0</v>
      </c>
      <c r="N140" s="130"/>
      <c r="O140" s="67">
        <f t="shared" si="24"/>
        <v>0</v>
      </c>
      <c r="P140" s="67">
        <f t="shared" si="25"/>
        <v>0</v>
      </c>
    </row>
    <row r="141" spans="2:16">
      <c r="B141" t="str">
        <f t="shared" si="10"/>
        <v/>
      </c>
      <c r="C141" s="62">
        <f>IF(D94="","-",+C140+1)</f>
        <v>2063</v>
      </c>
      <c r="D141" s="648">
        <f>IF(F140+SUM(E$100:E140)=D$93,F140,D$93-SUM(E$100:E140))</f>
        <v>0</v>
      </c>
      <c r="E141" s="509">
        <f t="shared" si="16"/>
        <v>0</v>
      </c>
      <c r="F141" s="649">
        <f t="shared" si="17"/>
        <v>0</v>
      </c>
      <c r="G141" s="649">
        <f t="shared" si="18"/>
        <v>0</v>
      </c>
      <c r="H141" s="650">
        <f t="shared" si="21"/>
        <v>0</v>
      </c>
      <c r="I141" s="628">
        <f t="shared" si="20"/>
        <v>0</v>
      </c>
      <c r="J141" s="67">
        <f t="shared" si="22"/>
        <v>0</v>
      </c>
      <c r="K141" s="67"/>
      <c r="L141" s="130"/>
      <c r="M141" s="67">
        <f t="shared" si="23"/>
        <v>0</v>
      </c>
      <c r="N141" s="130"/>
      <c r="O141" s="67">
        <f t="shared" si="24"/>
        <v>0</v>
      </c>
      <c r="P141" s="67">
        <f t="shared" si="25"/>
        <v>0</v>
      </c>
    </row>
    <row r="142" spans="2:16">
      <c r="B142" t="str">
        <f t="shared" si="10"/>
        <v/>
      </c>
      <c r="C142" s="62">
        <f>IF(D94="","-",+C141+1)</f>
        <v>2064</v>
      </c>
      <c r="D142" s="648">
        <f>IF(F141+SUM(E$100:E141)=D$93,F141,D$93-SUM(E$100:E141))</f>
        <v>0</v>
      </c>
      <c r="E142" s="509">
        <f t="shared" si="16"/>
        <v>0</v>
      </c>
      <c r="F142" s="649">
        <f t="shared" si="17"/>
        <v>0</v>
      </c>
      <c r="G142" s="649">
        <f t="shared" si="18"/>
        <v>0</v>
      </c>
      <c r="H142" s="650">
        <f t="shared" si="21"/>
        <v>0</v>
      </c>
      <c r="I142" s="628">
        <f t="shared" si="20"/>
        <v>0</v>
      </c>
      <c r="J142" s="67">
        <f t="shared" si="22"/>
        <v>0</v>
      </c>
      <c r="K142" s="67"/>
      <c r="L142" s="130"/>
      <c r="M142" s="67">
        <f t="shared" si="23"/>
        <v>0</v>
      </c>
      <c r="N142" s="130"/>
      <c r="O142" s="67">
        <f t="shared" si="24"/>
        <v>0</v>
      </c>
      <c r="P142" s="67">
        <f t="shared" si="25"/>
        <v>0</v>
      </c>
    </row>
    <row r="143" spans="2:16">
      <c r="B143" t="str">
        <f t="shared" si="10"/>
        <v/>
      </c>
      <c r="C143" s="62">
        <f>IF(D94="","-",+C142+1)</f>
        <v>2065</v>
      </c>
      <c r="D143" s="648">
        <f>IF(F142+SUM(E$100:E142)=D$93,F142,D$93-SUM(E$100:E142))</f>
        <v>0</v>
      </c>
      <c r="E143" s="509">
        <f t="shared" si="16"/>
        <v>0</v>
      </c>
      <c r="F143" s="649">
        <f t="shared" si="17"/>
        <v>0</v>
      </c>
      <c r="G143" s="649">
        <f t="shared" si="18"/>
        <v>0</v>
      </c>
      <c r="H143" s="650">
        <f t="shared" si="21"/>
        <v>0</v>
      </c>
      <c r="I143" s="628">
        <f t="shared" si="20"/>
        <v>0</v>
      </c>
      <c r="J143" s="67">
        <f t="shared" si="22"/>
        <v>0</v>
      </c>
      <c r="K143" s="67"/>
      <c r="L143" s="130"/>
      <c r="M143" s="67">
        <f t="shared" si="23"/>
        <v>0</v>
      </c>
      <c r="N143" s="130"/>
      <c r="O143" s="67">
        <f t="shared" si="24"/>
        <v>0</v>
      </c>
      <c r="P143" s="67">
        <f t="shared" si="25"/>
        <v>0</v>
      </c>
    </row>
    <row r="144" spans="2:16">
      <c r="B144" t="str">
        <f t="shared" si="10"/>
        <v/>
      </c>
      <c r="C144" s="62">
        <f>IF(D94="","-",+C143+1)</f>
        <v>2066</v>
      </c>
      <c r="D144" s="648">
        <f>IF(F143+SUM(E$100:E143)=D$93,F143,D$93-SUM(E$100:E143))</f>
        <v>0</v>
      </c>
      <c r="E144" s="509">
        <f t="shared" si="16"/>
        <v>0</v>
      </c>
      <c r="F144" s="649">
        <f t="shared" si="17"/>
        <v>0</v>
      </c>
      <c r="G144" s="649">
        <f t="shared" si="18"/>
        <v>0</v>
      </c>
      <c r="H144" s="650">
        <f t="shared" si="21"/>
        <v>0</v>
      </c>
      <c r="I144" s="628">
        <f t="shared" si="20"/>
        <v>0</v>
      </c>
      <c r="J144" s="67">
        <f t="shared" si="22"/>
        <v>0</v>
      </c>
      <c r="K144" s="67"/>
      <c r="L144" s="130"/>
      <c r="M144" s="67">
        <f t="shared" si="23"/>
        <v>0</v>
      </c>
      <c r="N144" s="130"/>
      <c r="O144" s="67">
        <f t="shared" si="24"/>
        <v>0</v>
      </c>
      <c r="P144" s="67">
        <f t="shared" si="25"/>
        <v>0</v>
      </c>
    </row>
    <row r="145" spans="2:16">
      <c r="B145" t="str">
        <f t="shared" si="10"/>
        <v/>
      </c>
      <c r="C145" s="62">
        <f>IF(D94="","-",+C144+1)</f>
        <v>2067</v>
      </c>
      <c r="D145" s="648">
        <f>IF(F144+SUM(E$100:E144)=D$93,F144,D$93-SUM(E$100:E144))</f>
        <v>0</v>
      </c>
      <c r="E145" s="509">
        <f t="shared" si="16"/>
        <v>0</v>
      </c>
      <c r="F145" s="649">
        <f t="shared" si="17"/>
        <v>0</v>
      </c>
      <c r="G145" s="649">
        <f t="shared" si="18"/>
        <v>0</v>
      </c>
      <c r="H145" s="650">
        <f t="shared" si="21"/>
        <v>0</v>
      </c>
      <c r="I145" s="628">
        <f t="shared" si="20"/>
        <v>0</v>
      </c>
      <c r="J145" s="67">
        <f t="shared" si="22"/>
        <v>0</v>
      </c>
      <c r="K145" s="67"/>
      <c r="L145" s="130"/>
      <c r="M145" s="67">
        <f t="shared" si="23"/>
        <v>0</v>
      </c>
      <c r="N145" s="130"/>
      <c r="O145" s="67">
        <f t="shared" si="24"/>
        <v>0</v>
      </c>
      <c r="P145" s="67">
        <f t="shared" si="25"/>
        <v>0</v>
      </c>
    </row>
    <row r="146" spans="2:16">
      <c r="B146" t="str">
        <f t="shared" si="10"/>
        <v/>
      </c>
      <c r="C146" s="62">
        <f>IF(D94="","-",+C145+1)</f>
        <v>2068</v>
      </c>
      <c r="D146" s="648">
        <f>IF(F145+SUM(E$100:E145)=D$93,F145,D$93-SUM(E$100:E145))</f>
        <v>0</v>
      </c>
      <c r="E146" s="509">
        <f t="shared" si="16"/>
        <v>0</v>
      </c>
      <c r="F146" s="649">
        <f t="shared" si="17"/>
        <v>0</v>
      </c>
      <c r="G146" s="649">
        <f t="shared" si="18"/>
        <v>0</v>
      </c>
      <c r="H146" s="650">
        <f t="shared" si="21"/>
        <v>0</v>
      </c>
      <c r="I146" s="628">
        <f t="shared" si="20"/>
        <v>0</v>
      </c>
      <c r="J146" s="67">
        <f t="shared" si="22"/>
        <v>0</v>
      </c>
      <c r="K146" s="67"/>
      <c r="L146" s="130"/>
      <c r="M146" s="67">
        <f t="shared" si="23"/>
        <v>0</v>
      </c>
      <c r="N146" s="130"/>
      <c r="O146" s="67">
        <f t="shared" si="24"/>
        <v>0</v>
      </c>
      <c r="P146" s="67">
        <f t="shared" si="25"/>
        <v>0</v>
      </c>
    </row>
    <row r="147" spans="2:16">
      <c r="B147" t="str">
        <f t="shared" si="10"/>
        <v/>
      </c>
      <c r="C147" s="62">
        <f>IF(D94="","-",+C146+1)</f>
        <v>2069</v>
      </c>
      <c r="D147" s="648">
        <f>IF(F146+SUM(E$100:E146)=D$93,F146,D$93-SUM(E$100:E146))</f>
        <v>0</v>
      </c>
      <c r="E147" s="509">
        <f t="shared" si="16"/>
        <v>0</v>
      </c>
      <c r="F147" s="649">
        <f t="shared" si="17"/>
        <v>0</v>
      </c>
      <c r="G147" s="649">
        <f t="shared" si="18"/>
        <v>0</v>
      </c>
      <c r="H147" s="650">
        <f t="shared" si="21"/>
        <v>0</v>
      </c>
      <c r="I147" s="628">
        <f t="shared" si="20"/>
        <v>0</v>
      </c>
      <c r="J147" s="67">
        <f t="shared" si="22"/>
        <v>0</v>
      </c>
      <c r="K147" s="67"/>
      <c r="L147" s="130"/>
      <c r="M147" s="67">
        <f t="shared" si="23"/>
        <v>0</v>
      </c>
      <c r="N147" s="130"/>
      <c r="O147" s="67">
        <f t="shared" si="24"/>
        <v>0</v>
      </c>
      <c r="P147" s="67">
        <f t="shared" si="25"/>
        <v>0</v>
      </c>
    </row>
    <row r="148" spans="2:16">
      <c r="B148" t="str">
        <f t="shared" si="10"/>
        <v/>
      </c>
      <c r="C148" s="62">
        <f>IF(D94="","-",+C147+1)</f>
        <v>2070</v>
      </c>
      <c r="D148" s="648">
        <f>IF(F147+SUM(E$100:E147)=D$93,F147,D$93-SUM(E$100:E147))</f>
        <v>0</v>
      </c>
      <c r="E148" s="509">
        <f t="shared" si="16"/>
        <v>0</v>
      </c>
      <c r="F148" s="649">
        <f t="shared" si="17"/>
        <v>0</v>
      </c>
      <c r="G148" s="649">
        <f t="shared" si="18"/>
        <v>0</v>
      </c>
      <c r="H148" s="650">
        <f t="shared" si="21"/>
        <v>0</v>
      </c>
      <c r="I148" s="628">
        <f t="shared" si="20"/>
        <v>0</v>
      </c>
      <c r="J148" s="67">
        <f t="shared" si="22"/>
        <v>0</v>
      </c>
      <c r="K148" s="67"/>
      <c r="L148" s="130"/>
      <c r="M148" s="67">
        <f t="shared" si="23"/>
        <v>0</v>
      </c>
      <c r="N148" s="130"/>
      <c r="O148" s="67">
        <f t="shared" si="24"/>
        <v>0</v>
      </c>
      <c r="P148" s="67">
        <f t="shared" si="25"/>
        <v>0</v>
      </c>
    </row>
    <row r="149" spans="2:16">
      <c r="B149" t="str">
        <f t="shared" si="10"/>
        <v/>
      </c>
      <c r="C149" s="62">
        <f>IF(D94="","-",+C148+1)</f>
        <v>2071</v>
      </c>
      <c r="D149" s="648">
        <f>IF(F148+SUM(E$100:E148)=D$93,F148,D$93-SUM(E$100:E148))</f>
        <v>0</v>
      </c>
      <c r="E149" s="509">
        <f t="shared" si="16"/>
        <v>0</v>
      </c>
      <c r="F149" s="649">
        <f t="shared" si="17"/>
        <v>0</v>
      </c>
      <c r="G149" s="649">
        <f t="shared" si="18"/>
        <v>0</v>
      </c>
      <c r="H149" s="650">
        <f t="shared" si="21"/>
        <v>0</v>
      </c>
      <c r="I149" s="628">
        <f t="shared" si="20"/>
        <v>0</v>
      </c>
      <c r="J149" s="67">
        <f t="shared" si="22"/>
        <v>0</v>
      </c>
      <c r="K149" s="67"/>
      <c r="L149" s="130"/>
      <c r="M149" s="67">
        <f t="shared" si="23"/>
        <v>0</v>
      </c>
      <c r="N149" s="130"/>
      <c r="O149" s="67">
        <f t="shared" si="24"/>
        <v>0</v>
      </c>
      <c r="P149" s="67">
        <f t="shared" si="25"/>
        <v>0</v>
      </c>
    </row>
    <row r="150" spans="2:16">
      <c r="B150" t="str">
        <f t="shared" si="10"/>
        <v/>
      </c>
      <c r="C150" s="62">
        <f>IF(D94="","-",+C149+1)</f>
        <v>2072</v>
      </c>
      <c r="D150" s="648">
        <f>IF(F149+SUM(E$100:E149)=D$93,F149,D$93-SUM(E$100:E149))</f>
        <v>0</v>
      </c>
      <c r="E150" s="509">
        <f t="shared" si="16"/>
        <v>0</v>
      </c>
      <c r="F150" s="649">
        <f t="shared" si="17"/>
        <v>0</v>
      </c>
      <c r="G150" s="649">
        <f t="shared" si="18"/>
        <v>0</v>
      </c>
      <c r="H150" s="650">
        <f t="shared" si="21"/>
        <v>0</v>
      </c>
      <c r="I150" s="628">
        <f t="shared" si="20"/>
        <v>0</v>
      </c>
      <c r="J150" s="67">
        <f t="shared" si="22"/>
        <v>0</v>
      </c>
      <c r="K150" s="67"/>
      <c r="L150" s="130"/>
      <c r="M150" s="67">
        <f t="shared" si="23"/>
        <v>0</v>
      </c>
      <c r="N150" s="130"/>
      <c r="O150" s="67">
        <f t="shared" si="24"/>
        <v>0</v>
      </c>
      <c r="P150" s="67">
        <f t="shared" si="25"/>
        <v>0</v>
      </c>
    </row>
    <row r="151" spans="2:16">
      <c r="B151" t="str">
        <f t="shared" si="10"/>
        <v/>
      </c>
      <c r="C151" s="62">
        <f>IF(D94="","-",+C150+1)</f>
        <v>2073</v>
      </c>
      <c r="D151" s="648">
        <f>IF(F150+SUM(E$100:E150)=D$93,F150,D$93-SUM(E$100:E150))</f>
        <v>0</v>
      </c>
      <c r="E151" s="509">
        <f t="shared" si="16"/>
        <v>0</v>
      </c>
      <c r="F151" s="649">
        <f t="shared" si="17"/>
        <v>0</v>
      </c>
      <c r="G151" s="649">
        <f t="shared" si="18"/>
        <v>0</v>
      </c>
      <c r="H151" s="650">
        <f t="shared" si="21"/>
        <v>0</v>
      </c>
      <c r="I151" s="628">
        <f t="shared" si="20"/>
        <v>0</v>
      </c>
      <c r="J151" s="67">
        <f t="shared" si="22"/>
        <v>0</v>
      </c>
      <c r="K151" s="67"/>
      <c r="L151" s="130"/>
      <c r="M151" s="67">
        <f t="shared" si="23"/>
        <v>0</v>
      </c>
      <c r="N151" s="130"/>
      <c r="O151" s="67">
        <f t="shared" si="24"/>
        <v>0</v>
      </c>
      <c r="P151" s="67">
        <f t="shared" si="25"/>
        <v>0</v>
      </c>
    </row>
    <row r="152" spans="2:16">
      <c r="B152" t="str">
        <f t="shared" si="10"/>
        <v/>
      </c>
      <c r="C152" s="62">
        <f>IF(D94="","-",+C151+1)</f>
        <v>2074</v>
      </c>
      <c r="D152" s="648">
        <f>IF(F151+SUM(E$100:E151)=D$93,F151,D$93-SUM(E$100:E151))</f>
        <v>0</v>
      </c>
      <c r="E152" s="509">
        <f t="shared" si="16"/>
        <v>0</v>
      </c>
      <c r="F152" s="649">
        <f t="shared" si="17"/>
        <v>0</v>
      </c>
      <c r="G152" s="649">
        <f t="shared" si="18"/>
        <v>0</v>
      </c>
      <c r="H152" s="650">
        <f t="shared" si="21"/>
        <v>0</v>
      </c>
      <c r="I152" s="628">
        <f t="shared" si="20"/>
        <v>0</v>
      </c>
      <c r="J152" s="67">
        <f t="shared" si="22"/>
        <v>0</v>
      </c>
      <c r="K152" s="67"/>
      <c r="L152" s="130"/>
      <c r="M152" s="67">
        <f t="shared" si="23"/>
        <v>0</v>
      </c>
      <c r="N152" s="130"/>
      <c r="O152" s="67">
        <f t="shared" si="24"/>
        <v>0</v>
      </c>
      <c r="P152" s="67">
        <f t="shared" si="25"/>
        <v>0</v>
      </c>
    </row>
    <row r="153" spans="2:16">
      <c r="B153" t="str">
        <f t="shared" si="10"/>
        <v/>
      </c>
      <c r="C153" s="62">
        <f>IF(D94="","-",+C152+1)</f>
        <v>2075</v>
      </c>
      <c r="D153" s="648">
        <f>IF(F152+SUM(E$100:E152)=D$93,F152,D$93-SUM(E$100:E152))</f>
        <v>0</v>
      </c>
      <c r="E153" s="509">
        <f t="shared" si="16"/>
        <v>0</v>
      </c>
      <c r="F153" s="649">
        <f t="shared" si="17"/>
        <v>0</v>
      </c>
      <c r="G153" s="649">
        <f t="shared" si="18"/>
        <v>0</v>
      </c>
      <c r="H153" s="650">
        <f t="shared" si="21"/>
        <v>0</v>
      </c>
      <c r="I153" s="628">
        <f t="shared" si="20"/>
        <v>0</v>
      </c>
      <c r="J153" s="67">
        <f t="shared" si="22"/>
        <v>0</v>
      </c>
      <c r="K153" s="67"/>
      <c r="L153" s="130"/>
      <c r="M153" s="67">
        <f t="shared" si="23"/>
        <v>0</v>
      </c>
      <c r="N153" s="130"/>
      <c r="O153" s="67">
        <f t="shared" si="24"/>
        <v>0</v>
      </c>
      <c r="P153" s="67">
        <f t="shared" si="25"/>
        <v>0</v>
      </c>
    </row>
    <row r="154" spans="2:16">
      <c r="B154" t="str">
        <f t="shared" si="10"/>
        <v/>
      </c>
      <c r="C154" s="62">
        <f>IF(D94="","-",+C153+1)</f>
        <v>2076</v>
      </c>
      <c r="D154" s="648">
        <f>IF(F153+SUM(E$100:E153)=D$93,F153,D$93-SUM(E$100:E153))</f>
        <v>0</v>
      </c>
      <c r="E154" s="509">
        <f t="shared" si="16"/>
        <v>0</v>
      </c>
      <c r="F154" s="649">
        <f t="shared" si="17"/>
        <v>0</v>
      </c>
      <c r="G154" s="649">
        <f t="shared" si="18"/>
        <v>0</v>
      </c>
      <c r="H154" s="650">
        <f t="shared" si="21"/>
        <v>0</v>
      </c>
      <c r="I154" s="628">
        <f t="shared" si="20"/>
        <v>0</v>
      </c>
      <c r="J154" s="67">
        <f t="shared" si="22"/>
        <v>0</v>
      </c>
      <c r="K154" s="67"/>
      <c r="L154" s="130"/>
      <c r="M154" s="67">
        <f t="shared" si="23"/>
        <v>0</v>
      </c>
      <c r="N154" s="130"/>
      <c r="O154" s="67">
        <f t="shared" si="24"/>
        <v>0</v>
      </c>
      <c r="P154" s="67">
        <f t="shared" si="25"/>
        <v>0</v>
      </c>
    </row>
    <row r="155" spans="2:16" ht="13.5" thickBot="1">
      <c r="B155" t="str">
        <f t="shared" si="10"/>
        <v/>
      </c>
      <c r="C155" s="73">
        <f>IF(D94="","-",+C154+1)</f>
        <v>2077</v>
      </c>
      <c r="D155" s="651">
        <f>IF(F154+SUM(E$100:E154)=D$93,F154,D$93-SUM(E$100:E154))</f>
        <v>0</v>
      </c>
      <c r="E155" s="526">
        <f t="shared" si="16"/>
        <v>0</v>
      </c>
      <c r="F155" s="652">
        <f t="shared" si="17"/>
        <v>0</v>
      </c>
      <c r="G155" s="652">
        <f t="shared" si="18"/>
        <v>0</v>
      </c>
      <c r="H155" s="650">
        <f t="shared" si="21"/>
        <v>0</v>
      </c>
      <c r="I155" s="624">
        <f t="shared" si="20"/>
        <v>0</v>
      </c>
      <c r="J155" s="78">
        <f t="shared" si="22"/>
        <v>0</v>
      </c>
      <c r="K155" s="67"/>
      <c r="L155" s="131"/>
      <c r="M155" s="78">
        <f t="shared" si="23"/>
        <v>0</v>
      </c>
      <c r="N155" s="131"/>
      <c r="O155" s="78">
        <f t="shared" si="24"/>
        <v>0</v>
      </c>
      <c r="P155" s="78">
        <f t="shared" si="25"/>
        <v>0</v>
      </c>
    </row>
    <row r="156" spans="2:16">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c r="C157" t="s">
        <v>90</v>
      </c>
      <c r="D157" s="2"/>
      <c r="E157" s="1"/>
      <c r="F157" s="1"/>
      <c r="G157" s="1"/>
      <c r="H157" s="1"/>
      <c r="I157" s="3"/>
      <c r="J157" s="3"/>
      <c r="K157" s="19"/>
      <c r="L157" s="3"/>
      <c r="M157" s="3"/>
      <c r="N157" s="3"/>
      <c r="O157" s="3"/>
      <c r="P157" s="1"/>
    </row>
    <row r="158" spans="2:16">
      <c r="C158" s="100"/>
      <c r="D158" s="2"/>
      <c r="E158" s="1"/>
      <c r="F158" s="1"/>
      <c r="G158" s="1"/>
      <c r="H158" s="1"/>
      <c r="I158" s="3"/>
      <c r="J158" s="3"/>
      <c r="K158" s="19"/>
      <c r="L158" s="3"/>
      <c r="M158" s="3"/>
      <c r="N158" s="3"/>
      <c r="O158" s="3"/>
      <c r="P158" s="1"/>
    </row>
    <row r="159" spans="2:16">
      <c r="C159" s="115" t="s">
        <v>130</v>
      </c>
      <c r="D159" s="2"/>
      <c r="E159" s="1"/>
      <c r="F159" s="1"/>
      <c r="G159" s="1"/>
      <c r="H159" s="1"/>
      <c r="I159" s="3"/>
      <c r="J159" s="3"/>
      <c r="K159" s="19"/>
      <c r="L159" s="3"/>
      <c r="M159" s="3"/>
      <c r="N159" s="3"/>
      <c r="O159" s="3"/>
      <c r="P159" s="1"/>
    </row>
    <row r="160" spans="2:16">
      <c r="C160" s="31" t="s">
        <v>76</v>
      </c>
      <c r="D160" s="63"/>
      <c r="E160" s="63"/>
      <c r="F160" s="63"/>
      <c r="G160" s="63"/>
      <c r="H160" s="19"/>
      <c r="I160" s="19"/>
      <c r="J160" s="80"/>
      <c r="K160" s="80"/>
      <c r="L160" s="80"/>
      <c r="M160" s="80"/>
      <c r="N160" s="80"/>
      <c r="O160" s="80"/>
      <c r="P160" s="1"/>
    </row>
    <row r="161" spans="3:16">
      <c r="C161" s="101" t="s">
        <v>77</v>
      </c>
      <c r="D161" s="63"/>
      <c r="E161" s="63"/>
      <c r="F161" s="63"/>
      <c r="G161" s="63"/>
      <c r="H161" s="19"/>
      <c r="I161" s="19"/>
      <c r="J161" s="80"/>
      <c r="K161" s="80"/>
      <c r="L161" s="80"/>
      <c r="M161" s="80"/>
      <c r="N161" s="80"/>
      <c r="O161" s="80"/>
      <c r="P161" s="1"/>
    </row>
    <row r="162" spans="3:16">
      <c r="C162" s="101"/>
      <c r="D162" s="63"/>
      <c r="E162" s="63"/>
      <c r="F162" s="63"/>
      <c r="G162" s="63"/>
      <c r="H162" s="19"/>
      <c r="I162" s="19"/>
      <c r="J162" s="80"/>
      <c r="K162" s="80"/>
      <c r="L162" s="80"/>
      <c r="M162" s="80"/>
      <c r="N162" s="80"/>
      <c r="O162" s="80"/>
      <c r="P162" s="1"/>
    </row>
    <row r="163" spans="3:16" ht="18">
      <c r="C163" s="101"/>
      <c r="D163" s="63"/>
      <c r="E163" s="63"/>
      <c r="F163" s="63"/>
      <c r="G163" s="63"/>
      <c r="H163" s="19"/>
      <c r="I163" s="19"/>
      <c r="J163" s="80"/>
      <c r="K163" s="80"/>
      <c r="L163" s="80"/>
      <c r="M163" s="80"/>
      <c r="N163" s="80"/>
      <c r="P163" s="112" t="s">
        <v>129</v>
      </c>
    </row>
  </sheetData>
  <conditionalFormatting sqref="C17:C71 C73">
    <cfRule type="cellIs" dxfId="8" priority="2" stopIfTrue="1" operator="equal">
      <formula>$I$10</formula>
    </cfRule>
  </conditionalFormatting>
  <conditionalFormatting sqref="C100:C155">
    <cfRule type="cellIs" dxfId="7" priority="3" stopIfTrue="1" operator="equal">
      <formula>$J$93</formula>
    </cfRule>
  </conditionalFormatting>
  <conditionalFormatting sqref="C72">
    <cfRule type="cellIs" dxfId="6" priority="1" stopIfTrue="1" operator="equal">
      <formula>$I$10</formula>
    </cfRule>
  </conditionalFormatting>
  <pageMargins left="0.5" right="0.25" top="1" bottom="0.5" header="0.25" footer="0.5"/>
  <pageSetup scale="47" orientation="landscape" r:id="rId1"/>
  <headerFooter>
    <oddHeader xml:space="preserve">&amp;R&amp;18AEPTCo - SPP Formula Rate
&amp;A TCOS - Worksheets F and G
Section IV -- (BPU Project Tables)
Page: &amp;P of &amp;N
</oddHeader>
    <oddFooter>&amp;L&amp;A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zoomScale="80" zoomScaleNormal="80" workbookViewId="0"/>
  </sheetViews>
  <sheetFormatPr defaultRowHeight="12.75"/>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110" t="s">
        <v>189</v>
      </c>
      <c r="B1" s="1"/>
      <c r="C1" s="9"/>
      <c r="D1" s="2"/>
      <c r="E1" s="1"/>
      <c r="F1" s="14"/>
      <c r="G1" s="1"/>
      <c r="H1" s="3"/>
      <c r="J1" s="7"/>
      <c r="K1" s="18"/>
      <c r="L1" s="18"/>
      <c r="M1" s="18"/>
      <c r="P1" s="116" t="str">
        <f ca="1">"OKT Project "&amp;RIGHT(MID(CELL("filename",$A$1),FIND("]",CELL("filename",$A$1))+1,256),2)&amp;" of "&amp;COUNT('OKT.001:OKT.xyz - blank'!$P$3)-1</f>
        <v>OKT Project 23 of 23</v>
      </c>
    </row>
    <row r="2" spans="1:16" ht="18">
      <c r="B2" s="1"/>
      <c r="C2" s="1"/>
      <c r="D2" s="2"/>
      <c r="E2" s="1"/>
      <c r="F2" s="1"/>
      <c r="G2" s="1"/>
      <c r="H2" s="3"/>
      <c r="I2" s="1"/>
      <c r="J2" s="4"/>
      <c r="K2" s="1"/>
      <c r="L2" s="1"/>
      <c r="M2" s="1"/>
      <c r="N2" s="1"/>
      <c r="P2" s="117" t="s">
        <v>131</v>
      </c>
    </row>
    <row r="3" spans="1:16" ht="18.75">
      <c r="B3" s="5" t="s">
        <v>42</v>
      </c>
      <c r="C3" s="13" t="s">
        <v>43</v>
      </c>
      <c r="D3" s="2"/>
      <c r="E3" s="1"/>
      <c r="F3" s="1"/>
      <c r="G3" s="1"/>
      <c r="H3" s="3"/>
      <c r="I3" s="3"/>
      <c r="J3" s="19"/>
      <c r="K3" s="3"/>
      <c r="L3" s="3"/>
      <c r="M3" s="3"/>
      <c r="N3" s="3"/>
      <c r="O3" s="1"/>
      <c r="P3" s="108">
        <v>1</v>
      </c>
    </row>
    <row r="4" spans="1:16" ht="15.75" thickBot="1">
      <c r="C4" s="12"/>
      <c r="D4" s="2"/>
      <c r="E4" s="1"/>
      <c r="F4" s="1"/>
      <c r="G4" s="1"/>
      <c r="H4" s="3"/>
      <c r="I4" s="3"/>
      <c r="J4" s="19"/>
      <c r="K4" s="3"/>
      <c r="L4" s="3"/>
      <c r="M4" s="3"/>
      <c r="N4" s="3"/>
      <c r="O4" s="1"/>
      <c r="P4" s="1"/>
    </row>
    <row r="5" spans="1:16" ht="15">
      <c r="C5" s="20" t="s">
        <v>44</v>
      </c>
      <c r="D5" s="2"/>
      <c r="E5" s="1"/>
      <c r="F5" s="1"/>
      <c r="G5" s="21"/>
      <c r="H5" s="1" t="s">
        <v>45</v>
      </c>
      <c r="I5" s="1"/>
      <c r="J5" s="4"/>
      <c r="K5" s="22" t="s">
        <v>242</v>
      </c>
      <c r="L5" s="23"/>
      <c r="M5" s="24"/>
      <c r="N5" s="25">
        <f>VLOOKUP(I10,C17:I73,5)</f>
        <v>54888.662520160804</v>
      </c>
      <c r="P5" s="1"/>
    </row>
    <row r="6" spans="1:16" ht="15.75">
      <c r="C6" s="8"/>
      <c r="D6" s="2"/>
      <c r="E6" s="1"/>
      <c r="F6" s="1"/>
      <c r="G6" s="1"/>
      <c r="H6" s="26"/>
      <c r="I6" s="26"/>
      <c r="J6" s="27"/>
      <c r="K6" s="28" t="s">
        <v>243</v>
      </c>
      <c r="L6" s="29"/>
      <c r="M6" s="4"/>
      <c r="N6" s="30">
        <f>VLOOKUP(I10,C17:I73,6)</f>
        <v>54888.662520160804</v>
      </c>
      <c r="O6" s="1"/>
      <c r="P6" s="1"/>
    </row>
    <row r="7" spans="1:16" ht="13.5" thickBot="1">
      <c r="C7" s="31" t="s">
        <v>46</v>
      </c>
      <c r="D7" s="637" t="s">
        <v>320</v>
      </c>
      <c r="E7" s="1"/>
      <c r="F7" s="1"/>
      <c r="G7" s="1"/>
      <c r="H7" s="3"/>
      <c r="I7" s="3"/>
      <c r="J7" s="19"/>
      <c r="K7" s="32" t="s">
        <v>47</v>
      </c>
      <c r="L7" s="33"/>
      <c r="M7" s="33"/>
      <c r="N7" s="34">
        <f>+N6-N5</f>
        <v>0</v>
      </c>
      <c r="O7" s="1"/>
      <c r="P7" s="1"/>
    </row>
    <row r="8" spans="1:16" ht="13.5" thickBot="1">
      <c r="C8" s="35"/>
      <c r="D8" s="114"/>
      <c r="E8" s="36"/>
      <c r="F8" s="36"/>
      <c r="G8" s="36"/>
      <c r="H8" s="36"/>
      <c r="I8" s="36"/>
      <c r="J8" s="15"/>
      <c r="K8" s="36"/>
      <c r="L8" s="36"/>
      <c r="M8" s="36"/>
      <c r="N8" s="36"/>
      <c r="O8" s="15"/>
      <c r="P8" s="9"/>
    </row>
    <row r="9" spans="1:16" ht="13.5" thickBot="1">
      <c r="C9" s="37" t="s">
        <v>48</v>
      </c>
      <c r="D9" s="106" t="s">
        <v>321</v>
      </c>
      <c r="E9" s="647" t="s">
        <v>293</v>
      </c>
      <c r="F9" s="38"/>
      <c r="G9" s="38"/>
      <c r="H9" s="38"/>
      <c r="I9" s="39"/>
      <c r="J9" s="40"/>
      <c r="O9" s="41"/>
      <c r="P9" s="4"/>
    </row>
    <row r="10" spans="1:16">
      <c r="C10" s="42" t="s">
        <v>49</v>
      </c>
      <c r="D10" s="43">
        <v>956592</v>
      </c>
      <c r="E10" s="11" t="s">
        <v>50</v>
      </c>
      <c r="F10" s="41"/>
      <c r="G10" s="44"/>
      <c r="H10" s="44"/>
      <c r="I10" s="45">
        <f>+OKT.WS.F.BPU.ATRR.Projected!R101</f>
        <v>2022</v>
      </c>
      <c r="J10" s="40"/>
      <c r="K10" s="19" t="s">
        <v>51</v>
      </c>
      <c r="O10" s="4"/>
      <c r="P10" s="4"/>
    </row>
    <row r="11" spans="1:16">
      <c r="C11" s="46" t="s">
        <v>52</v>
      </c>
      <c r="D11" s="47">
        <v>2022</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c r="C12" s="46" t="s">
        <v>54</v>
      </c>
      <c r="D12" s="43">
        <v>12</v>
      </c>
      <c r="E12" s="46" t="s">
        <v>55</v>
      </c>
      <c r="F12" s="44"/>
      <c r="G12" s="7"/>
      <c r="H12" s="7"/>
      <c r="I12" s="50">
        <f>OKT.WS.F.BPU.ATRR.Projected!$F$79</f>
        <v>0.11475877389767174</v>
      </c>
      <c r="J12" s="51"/>
      <c r="K12" t="s">
        <v>56</v>
      </c>
      <c r="O12" s="4"/>
      <c r="P12" s="4"/>
    </row>
    <row r="13" spans="1:16">
      <c r="C13" s="46" t="s">
        <v>57</v>
      </c>
      <c r="D13" s="48">
        <f>+OKT.WS.F.BPU.ATRR.Projected!F$90</f>
        <v>33</v>
      </c>
      <c r="E13" s="46" t="s">
        <v>58</v>
      </c>
      <c r="F13" s="44"/>
      <c r="G13" s="7"/>
      <c r="H13" s="7"/>
      <c r="I13" s="50">
        <f>IF(G5="",I12,OKT.WS.F.BPU.ATRR.Projected!$F$78)</f>
        <v>0.11475877389767174</v>
      </c>
      <c r="J13" s="51"/>
      <c r="K13" s="19" t="s">
        <v>59</v>
      </c>
      <c r="L13" s="10"/>
      <c r="M13" s="10"/>
      <c r="N13" s="10"/>
      <c r="O13" s="4"/>
      <c r="P13" s="4"/>
    </row>
    <row r="14" spans="1:16" ht="13.5" thickBot="1">
      <c r="C14" s="46" t="s">
        <v>60</v>
      </c>
      <c r="D14" s="47" t="s">
        <v>61</v>
      </c>
      <c r="E14" s="4" t="s">
        <v>62</v>
      </c>
      <c r="F14" s="44"/>
      <c r="G14" s="7"/>
      <c r="H14" s="7"/>
      <c r="I14" s="52">
        <f>IF(D10=0,0,D10/D13)</f>
        <v>28987.636363636364</v>
      </c>
      <c r="J14" s="19"/>
      <c r="K14" s="19"/>
      <c r="L14" s="19"/>
      <c r="M14" s="19"/>
      <c r="N14" s="19"/>
      <c r="O14" s="4"/>
      <c r="P14" s="4"/>
    </row>
    <row r="15" spans="1:16" ht="38.25">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c r="B17" t="str">
        <f t="shared" ref="B17:B71" si="0">IF(D17=F16,"","IU")</f>
        <v>IU</v>
      </c>
      <c r="C17" s="62">
        <f>IF(D11= "","-",D11)</f>
        <v>2022</v>
      </c>
      <c r="D17" s="63">
        <v>0</v>
      </c>
      <c r="E17" s="64">
        <f>IF(D10&gt;=100000,I$14/12*(12-D12),0)</f>
        <v>0</v>
      </c>
      <c r="F17" s="68">
        <f>IF(D11=C17,+D10-E17,+D17-E17)</f>
        <v>956592</v>
      </c>
      <c r="G17" s="64">
        <f>(D17+F17)/2*I$12+E17</f>
        <v>54888.662520160804</v>
      </c>
      <c r="H17" s="52">
        <f>+(D17+F17)/2*I$13+E17</f>
        <v>54888.662520160804</v>
      </c>
      <c r="I17" s="65">
        <f t="shared" ref="I17:I71" si="1">H17-G17</f>
        <v>0</v>
      </c>
      <c r="J17" s="65"/>
      <c r="K17" s="132"/>
      <c r="L17" s="66">
        <f t="shared" ref="L17" si="2">IF(K17&lt;&gt;0,+G17-K17,0)</f>
        <v>0</v>
      </c>
      <c r="M17" s="132"/>
      <c r="N17" s="66">
        <f t="shared" ref="N17:N71" si="3">IF(M17&lt;&gt;0,+H17-M17,0)</f>
        <v>0</v>
      </c>
      <c r="O17" s="67">
        <f t="shared" ref="O17:O71" si="4">+N17-L17</f>
        <v>0</v>
      </c>
      <c r="P17" s="4"/>
    </row>
    <row r="18" spans="2:16">
      <c r="B18" t="str">
        <f t="shared" si="0"/>
        <v/>
      </c>
      <c r="C18" s="62">
        <f>IF(D11="","-",+C17+1)</f>
        <v>2023</v>
      </c>
      <c r="D18" s="71">
        <f>IF(F17+SUM(E$17:E17)=D$10,F17,D$10-SUM(E$17:E17))</f>
        <v>956592</v>
      </c>
      <c r="E18" s="69">
        <f t="shared" ref="E18:E71" si="5">IF(+I$14&lt;F17,I$14,D18)</f>
        <v>28987.636363636364</v>
      </c>
      <c r="F18" s="68">
        <f t="shared" ref="F18:F71" si="6">+D18-E18</f>
        <v>927604.36363636365</v>
      </c>
      <c r="G18" s="70">
        <f t="shared" ref="G18:G71" si="7">(D18+F18)/2*I$12+E18</f>
        <v>137101.66860031674</v>
      </c>
      <c r="H18" s="52">
        <f t="shared" ref="H18:H71" si="8">+(D18+F18)/2*I$13+E18</f>
        <v>137101.66860031674</v>
      </c>
      <c r="I18" s="65">
        <f t="shared" si="1"/>
        <v>0</v>
      </c>
      <c r="J18" s="65"/>
      <c r="K18" s="130"/>
      <c r="L18" s="67">
        <f t="shared" ref="L18:L71" si="9">IF(K18&lt;&gt;0,+G18-K18,0)</f>
        <v>0</v>
      </c>
      <c r="M18" s="130"/>
      <c r="N18" s="67">
        <f t="shared" si="3"/>
        <v>0</v>
      </c>
      <c r="O18" s="67">
        <f t="shared" si="4"/>
        <v>0</v>
      </c>
      <c r="P18" s="4"/>
    </row>
    <row r="19" spans="2:16">
      <c r="B19" t="str">
        <f t="shared" si="0"/>
        <v/>
      </c>
      <c r="C19" s="62">
        <f>IF(D11="","-",+C18+1)</f>
        <v>2024</v>
      </c>
      <c r="D19" s="71">
        <f>IF(F18+SUM(E$17:E18)=D$10,F18,D$10-SUM(E$17:E18))</f>
        <v>927604.36363636365</v>
      </c>
      <c r="E19" s="69">
        <f t="shared" si="5"/>
        <v>28987.636363636364</v>
      </c>
      <c r="F19" s="68">
        <f t="shared" si="6"/>
        <v>898616.72727272729</v>
      </c>
      <c r="G19" s="70">
        <f t="shared" si="7"/>
        <v>133775.08299303424</v>
      </c>
      <c r="H19" s="52">
        <f t="shared" si="8"/>
        <v>133775.08299303424</v>
      </c>
      <c r="I19" s="65">
        <f t="shared" si="1"/>
        <v>0</v>
      </c>
      <c r="J19" s="65"/>
      <c r="K19" s="130"/>
      <c r="L19" s="67">
        <f t="shared" si="9"/>
        <v>0</v>
      </c>
      <c r="M19" s="130"/>
      <c r="N19" s="67">
        <f t="shared" si="3"/>
        <v>0</v>
      </c>
      <c r="O19" s="67">
        <f t="shared" si="4"/>
        <v>0</v>
      </c>
      <c r="P19" s="4"/>
    </row>
    <row r="20" spans="2:16">
      <c r="B20" t="str">
        <f t="shared" si="0"/>
        <v/>
      </c>
      <c r="C20" s="62">
        <f>IF(D11="","-",+C19+1)</f>
        <v>2025</v>
      </c>
      <c r="D20" s="71">
        <f>IF(F19+SUM(E$17:E19)=D$10,F19,D$10-SUM(E$17:E19))</f>
        <v>898616.72727272729</v>
      </c>
      <c r="E20" s="69">
        <f t="shared" si="5"/>
        <v>28987.636363636364</v>
      </c>
      <c r="F20" s="68">
        <f t="shared" si="6"/>
        <v>869629.09090909094</v>
      </c>
      <c r="G20" s="70">
        <f t="shared" si="7"/>
        <v>130448.49738575179</v>
      </c>
      <c r="H20" s="52">
        <f t="shared" si="8"/>
        <v>130448.49738575179</v>
      </c>
      <c r="I20" s="65">
        <f t="shared" si="1"/>
        <v>0</v>
      </c>
      <c r="J20" s="65"/>
      <c r="K20" s="130"/>
      <c r="L20" s="67">
        <f t="shared" si="9"/>
        <v>0</v>
      </c>
      <c r="M20" s="130"/>
      <c r="N20" s="67">
        <f t="shared" si="3"/>
        <v>0</v>
      </c>
      <c r="O20" s="67">
        <f t="shared" si="4"/>
        <v>0</v>
      </c>
      <c r="P20" s="4"/>
    </row>
    <row r="21" spans="2:16">
      <c r="B21" t="str">
        <f t="shared" si="0"/>
        <v/>
      </c>
      <c r="C21" s="62">
        <f>IF(D11="","-",+C20+1)</f>
        <v>2026</v>
      </c>
      <c r="D21" s="71">
        <f>IF(F20+SUM(E$17:E20)=D$10,F20,D$10-SUM(E$17:E20))</f>
        <v>869629.09090909094</v>
      </c>
      <c r="E21" s="69">
        <f t="shared" si="5"/>
        <v>28987.636363636364</v>
      </c>
      <c r="F21" s="68">
        <f t="shared" si="6"/>
        <v>840641.45454545459</v>
      </c>
      <c r="G21" s="70">
        <f t="shared" si="7"/>
        <v>127121.91177846931</v>
      </c>
      <c r="H21" s="52">
        <f t="shared" si="8"/>
        <v>127121.91177846931</v>
      </c>
      <c r="I21" s="65">
        <f t="shared" si="1"/>
        <v>0</v>
      </c>
      <c r="J21" s="65"/>
      <c r="K21" s="130"/>
      <c r="L21" s="67">
        <f t="shared" si="9"/>
        <v>0</v>
      </c>
      <c r="M21" s="130"/>
      <c r="N21" s="67">
        <f t="shared" si="3"/>
        <v>0</v>
      </c>
      <c r="O21" s="67">
        <f t="shared" si="4"/>
        <v>0</v>
      </c>
      <c r="P21" s="4"/>
    </row>
    <row r="22" spans="2:16">
      <c r="B22" t="str">
        <f t="shared" si="0"/>
        <v/>
      </c>
      <c r="C22" s="62">
        <f>IF(D11="","-",+C21+1)</f>
        <v>2027</v>
      </c>
      <c r="D22" s="71">
        <f>IF(F21+SUM(E$17:E21)=D$10,F21,D$10-SUM(E$17:E21))</f>
        <v>840641.45454545459</v>
      </c>
      <c r="E22" s="69">
        <f t="shared" si="5"/>
        <v>28987.636363636364</v>
      </c>
      <c r="F22" s="68">
        <f t="shared" si="6"/>
        <v>811653.81818181823</v>
      </c>
      <c r="G22" s="70">
        <f t="shared" si="7"/>
        <v>123795.32617118685</v>
      </c>
      <c r="H22" s="52">
        <f t="shared" si="8"/>
        <v>123795.32617118685</v>
      </c>
      <c r="I22" s="65">
        <f t="shared" si="1"/>
        <v>0</v>
      </c>
      <c r="J22" s="65"/>
      <c r="K22" s="130"/>
      <c r="L22" s="67">
        <f t="shared" si="9"/>
        <v>0</v>
      </c>
      <c r="M22" s="130"/>
      <c r="N22" s="67">
        <f t="shared" si="3"/>
        <v>0</v>
      </c>
      <c r="O22" s="67">
        <f t="shared" si="4"/>
        <v>0</v>
      </c>
      <c r="P22" s="4"/>
    </row>
    <row r="23" spans="2:16">
      <c r="B23" t="str">
        <f t="shared" si="0"/>
        <v/>
      </c>
      <c r="C23" s="62">
        <f>IF(D11="","-",+C22+1)</f>
        <v>2028</v>
      </c>
      <c r="D23" s="71">
        <f>IF(F22+SUM(E$17:E22)=D$10,F22,D$10-SUM(E$17:E22))</f>
        <v>811653.81818181823</v>
      </c>
      <c r="E23" s="69">
        <f t="shared" si="5"/>
        <v>28987.636363636364</v>
      </c>
      <c r="F23" s="68">
        <f t="shared" si="6"/>
        <v>782666.18181818188</v>
      </c>
      <c r="G23" s="70">
        <f t="shared" si="7"/>
        <v>120468.74056390437</v>
      </c>
      <c r="H23" s="52">
        <f t="shared" si="8"/>
        <v>120468.74056390437</v>
      </c>
      <c r="I23" s="65">
        <f t="shared" si="1"/>
        <v>0</v>
      </c>
      <c r="J23" s="65"/>
      <c r="K23" s="130"/>
      <c r="L23" s="67">
        <f t="shared" si="9"/>
        <v>0</v>
      </c>
      <c r="M23" s="130"/>
      <c r="N23" s="67">
        <f t="shared" si="3"/>
        <v>0</v>
      </c>
      <c r="O23" s="67">
        <f t="shared" si="4"/>
        <v>0</v>
      </c>
      <c r="P23" s="4"/>
    </row>
    <row r="24" spans="2:16">
      <c r="B24" t="str">
        <f t="shared" si="0"/>
        <v/>
      </c>
      <c r="C24" s="62">
        <f>IF(D11="","-",+C23+1)</f>
        <v>2029</v>
      </c>
      <c r="D24" s="71">
        <f>IF(F23+SUM(E$17:E23)=D$10,F23,D$10-SUM(E$17:E23))</f>
        <v>782666.18181818188</v>
      </c>
      <c r="E24" s="69">
        <f t="shared" si="5"/>
        <v>28987.636363636364</v>
      </c>
      <c r="F24" s="68">
        <f t="shared" si="6"/>
        <v>753678.54545454553</v>
      </c>
      <c r="G24" s="70">
        <f t="shared" si="7"/>
        <v>117142.15495662192</v>
      </c>
      <c r="H24" s="52">
        <f t="shared" si="8"/>
        <v>117142.15495662192</v>
      </c>
      <c r="I24" s="65">
        <f t="shared" si="1"/>
        <v>0</v>
      </c>
      <c r="J24" s="65"/>
      <c r="K24" s="130"/>
      <c r="L24" s="67">
        <f t="shared" si="9"/>
        <v>0</v>
      </c>
      <c r="M24" s="130"/>
      <c r="N24" s="67">
        <f t="shared" si="3"/>
        <v>0</v>
      </c>
      <c r="O24" s="67">
        <f t="shared" si="4"/>
        <v>0</v>
      </c>
      <c r="P24" s="4"/>
    </row>
    <row r="25" spans="2:16">
      <c r="B25" t="str">
        <f t="shared" si="0"/>
        <v/>
      </c>
      <c r="C25" s="62">
        <f>IF(D11="","-",+C24+1)</f>
        <v>2030</v>
      </c>
      <c r="D25" s="71">
        <f>IF(F24+SUM(E$17:E24)=D$10,F24,D$10-SUM(E$17:E24))</f>
        <v>753678.54545454553</v>
      </c>
      <c r="E25" s="69">
        <f t="shared" si="5"/>
        <v>28987.636363636364</v>
      </c>
      <c r="F25" s="68">
        <f t="shared" si="6"/>
        <v>724690.90909090918</v>
      </c>
      <c r="G25" s="70">
        <f t="shared" si="7"/>
        <v>113815.56934933942</v>
      </c>
      <c r="H25" s="52">
        <f t="shared" si="8"/>
        <v>113815.56934933942</v>
      </c>
      <c r="I25" s="65">
        <f t="shared" si="1"/>
        <v>0</v>
      </c>
      <c r="J25" s="65"/>
      <c r="K25" s="130"/>
      <c r="L25" s="67">
        <f t="shared" si="9"/>
        <v>0</v>
      </c>
      <c r="M25" s="130"/>
      <c r="N25" s="67">
        <f t="shared" si="3"/>
        <v>0</v>
      </c>
      <c r="O25" s="67">
        <f t="shared" si="4"/>
        <v>0</v>
      </c>
      <c r="P25" s="4"/>
    </row>
    <row r="26" spans="2:16">
      <c r="B26" t="str">
        <f t="shared" si="0"/>
        <v/>
      </c>
      <c r="C26" s="62">
        <f>IF(D11="","-",+C25+1)</f>
        <v>2031</v>
      </c>
      <c r="D26" s="71">
        <f>IF(F25+SUM(E$17:E25)=D$10,F25,D$10-SUM(E$17:E25))</f>
        <v>724690.90909090918</v>
      </c>
      <c r="E26" s="69">
        <f t="shared" si="5"/>
        <v>28987.636363636364</v>
      </c>
      <c r="F26" s="68">
        <f t="shared" si="6"/>
        <v>695703.27272727282</v>
      </c>
      <c r="G26" s="70">
        <f t="shared" si="7"/>
        <v>110488.98374205697</v>
      </c>
      <c r="H26" s="52">
        <f t="shared" si="8"/>
        <v>110488.98374205697</v>
      </c>
      <c r="I26" s="65">
        <f t="shared" si="1"/>
        <v>0</v>
      </c>
      <c r="J26" s="65"/>
      <c r="K26" s="130"/>
      <c r="L26" s="67">
        <f t="shared" si="9"/>
        <v>0</v>
      </c>
      <c r="M26" s="130"/>
      <c r="N26" s="67">
        <f t="shared" si="3"/>
        <v>0</v>
      </c>
      <c r="O26" s="67">
        <f t="shared" si="4"/>
        <v>0</v>
      </c>
      <c r="P26" s="4"/>
    </row>
    <row r="27" spans="2:16">
      <c r="B27" t="str">
        <f t="shared" si="0"/>
        <v/>
      </c>
      <c r="C27" s="62">
        <f>IF(D11="","-",+C26+1)</f>
        <v>2032</v>
      </c>
      <c r="D27" s="71">
        <f>IF(F26+SUM(E$17:E26)=D$10,F26,D$10-SUM(E$17:E26))</f>
        <v>695703.27272727282</v>
      </c>
      <c r="E27" s="69">
        <f t="shared" si="5"/>
        <v>28987.636363636364</v>
      </c>
      <c r="F27" s="68">
        <f t="shared" si="6"/>
        <v>666715.63636363647</v>
      </c>
      <c r="G27" s="70">
        <f t="shared" si="7"/>
        <v>107162.39813477448</v>
      </c>
      <c r="H27" s="52">
        <f t="shared" si="8"/>
        <v>107162.39813477448</v>
      </c>
      <c r="I27" s="65">
        <f t="shared" si="1"/>
        <v>0</v>
      </c>
      <c r="J27" s="65"/>
      <c r="K27" s="130"/>
      <c r="L27" s="67">
        <f t="shared" si="9"/>
        <v>0</v>
      </c>
      <c r="M27" s="130"/>
      <c r="N27" s="67">
        <f t="shared" si="3"/>
        <v>0</v>
      </c>
      <c r="O27" s="67">
        <f t="shared" si="4"/>
        <v>0</v>
      </c>
      <c r="P27" s="4"/>
    </row>
    <row r="28" spans="2:16">
      <c r="B28" t="str">
        <f t="shared" si="0"/>
        <v/>
      </c>
      <c r="C28" s="62">
        <f>IF(D11="","-",+C27+1)</f>
        <v>2033</v>
      </c>
      <c r="D28" s="71">
        <f>IF(F27+SUM(E$17:E27)=D$10,F27,D$10-SUM(E$17:E27))</f>
        <v>666715.63636363647</v>
      </c>
      <c r="E28" s="69">
        <f t="shared" si="5"/>
        <v>28987.636363636364</v>
      </c>
      <c r="F28" s="68">
        <f t="shared" si="6"/>
        <v>637728.00000000012</v>
      </c>
      <c r="G28" s="70">
        <f t="shared" si="7"/>
        <v>103835.81252749203</v>
      </c>
      <c r="H28" s="52">
        <f t="shared" si="8"/>
        <v>103835.81252749203</v>
      </c>
      <c r="I28" s="65">
        <f t="shared" si="1"/>
        <v>0</v>
      </c>
      <c r="J28" s="65"/>
      <c r="K28" s="130"/>
      <c r="L28" s="67">
        <f t="shared" si="9"/>
        <v>0</v>
      </c>
      <c r="M28" s="130"/>
      <c r="N28" s="67">
        <f t="shared" si="3"/>
        <v>0</v>
      </c>
      <c r="O28" s="67">
        <f t="shared" si="4"/>
        <v>0</v>
      </c>
      <c r="P28" s="4"/>
    </row>
    <row r="29" spans="2:16">
      <c r="B29" t="str">
        <f t="shared" si="0"/>
        <v/>
      </c>
      <c r="C29" s="62">
        <f>IF(D11="","-",+C28+1)</f>
        <v>2034</v>
      </c>
      <c r="D29" s="71">
        <f>IF(F28+SUM(E$17:E28)=D$10,F28,D$10-SUM(E$17:E28))</f>
        <v>637728.00000000012</v>
      </c>
      <c r="E29" s="69">
        <f t="shared" si="5"/>
        <v>28987.636363636364</v>
      </c>
      <c r="F29" s="68">
        <f t="shared" si="6"/>
        <v>608740.36363636376</v>
      </c>
      <c r="G29" s="70">
        <f t="shared" si="7"/>
        <v>100509.22692020953</v>
      </c>
      <c r="H29" s="52">
        <f t="shared" si="8"/>
        <v>100509.22692020953</v>
      </c>
      <c r="I29" s="65">
        <f t="shared" si="1"/>
        <v>0</v>
      </c>
      <c r="J29" s="65"/>
      <c r="K29" s="130"/>
      <c r="L29" s="67">
        <f t="shared" si="9"/>
        <v>0</v>
      </c>
      <c r="M29" s="130"/>
      <c r="N29" s="67">
        <f t="shared" si="3"/>
        <v>0</v>
      </c>
      <c r="O29" s="67">
        <f t="shared" si="4"/>
        <v>0</v>
      </c>
      <c r="P29" s="4"/>
    </row>
    <row r="30" spans="2:16">
      <c r="B30" t="str">
        <f t="shared" si="0"/>
        <v/>
      </c>
      <c r="C30" s="62">
        <f>IF(D11="","-",+C29+1)</f>
        <v>2035</v>
      </c>
      <c r="D30" s="71">
        <f>IF(F29+SUM(E$17:E29)=D$10,F29,D$10-SUM(E$17:E29))</f>
        <v>608740.36363636376</v>
      </c>
      <c r="E30" s="69">
        <f t="shared" si="5"/>
        <v>28987.636363636364</v>
      </c>
      <c r="F30" s="68">
        <f t="shared" si="6"/>
        <v>579752.72727272741</v>
      </c>
      <c r="G30" s="70">
        <f t="shared" si="7"/>
        <v>97182.64131292708</v>
      </c>
      <c r="H30" s="52">
        <f t="shared" si="8"/>
        <v>97182.64131292708</v>
      </c>
      <c r="I30" s="65">
        <f t="shared" si="1"/>
        <v>0</v>
      </c>
      <c r="J30" s="65"/>
      <c r="K30" s="130"/>
      <c r="L30" s="67">
        <f t="shared" si="9"/>
        <v>0</v>
      </c>
      <c r="M30" s="130"/>
      <c r="N30" s="67">
        <f t="shared" si="3"/>
        <v>0</v>
      </c>
      <c r="O30" s="67">
        <f t="shared" si="4"/>
        <v>0</v>
      </c>
      <c r="P30" s="4"/>
    </row>
    <row r="31" spans="2:16">
      <c r="B31" t="str">
        <f t="shared" si="0"/>
        <v/>
      </c>
      <c r="C31" s="62">
        <f>IF(D11="","-",+C30+1)</f>
        <v>2036</v>
      </c>
      <c r="D31" s="71">
        <f>IF(F30+SUM(E$17:E30)=D$10,F30,D$10-SUM(E$17:E30))</f>
        <v>579752.72727272741</v>
      </c>
      <c r="E31" s="69">
        <f t="shared" si="5"/>
        <v>28987.636363636364</v>
      </c>
      <c r="F31" s="68">
        <f t="shared" si="6"/>
        <v>550765.09090909106</v>
      </c>
      <c r="G31" s="70">
        <f t="shared" si="7"/>
        <v>93856.055705644598</v>
      </c>
      <c r="H31" s="52">
        <f t="shared" si="8"/>
        <v>93856.055705644598</v>
      </c>
      <c r="I31" s="65">
        <f t="shared" si="1"/>
        <v>0</v>
      </c>
      <c r="J31" s="65"/>
      <c r="K31" s="130"/>
      <c r="L31" s="67">
        <f t="shared" si="9"/>
        <v>0</v>
      </c>
      <c r="M31" s="130"/>
      <c r="N31" s="67">
        <f t="shared" si="3"/>
        <v>0</v>
      </c>
      <c r="O31" s="67">
        <f t="shared" si="4"/>
        <v>0</v>
      </c>
      <c r="P31" s="4"/>
    </row>
    <row r="32" spans="2:16">
      <c r="B32" t="str">
        <f t="shared" si="0"/>
        <v/>
      </c>
      <c r="C32" s="62">
        <f>IF(D11="","-",+C31+1)</f>
        <v>2037</v>
      </c>
      <c r="D32" s="71">
        <f>IF(F31+SUM(E$17:E31)=D$10,F31,D$10-SUM(E$17:E31))</f>
        <v>550765.09090909106</v>
      </c>
      <c r="E32" s="69">
        <f t="shared" si="5"/>
        <v>28987.636363636364</v>
      </c>
      <c r="F32" s="68">
        <f t="shared" si="6"/>
        <v>521777.4545454547</v>
      </c>
      <c r="G32" s="70">
        <f t="shared" si="7"/>
        <v>90529.47009836213</v>
      </c>
      <c r="H32" s="52">
        <f t="shared" si="8"/>
        <v>90529.47009836213</v>
      </c>
      <c r="I32" s="65">
        <f t="shared" si="1"/>
        <v>0</v>
      </c>
      <c r="J32" s="65"/>
      <c r="K32" s="130"/>
      <c r="L32" s="67">
        <f t="shared" si="9"/>
        <v>0</v>
      </c>
      <c r="M32" s="130"/>
      <c r="N32" s="67">
        <f t="shared" si="3"/>
        <v>0</v>
      </c>
      <c r="O32" s="67">
        <f t="shared" si="4"/>
        <v>0</v>
      </c>
      <c r="P32" s="4"/>
    </row>
    <row r="33" spans="2:16">
      <c r="B33" t="str">
        <f t="shared" si="0"/>
        <v/>
      </c>
      <c r="C33" s="62">
        <f>IF(D11="","-",+C32+1)</f>
        <v>2038</v>
      </c>
      <c r="D33" s="71">
        <f>IF(F32+SUM(E$17:E32)=D$10,F32,D$10-SUM(E$17:E32))</f>
        <v>521777.4545454547</v>
      </c>
      <c r="E33" s="69">
        <f t="shared" si="5"/>
        <v>28987.636363636364</v>
      </c>
      <c r="F33" s="68">
        <f t="shared" si="6"/>
        <v>492789.81818181835</v>
      </c>
      <c r="G33" s="70">
        <f t="shared" si="7"/>
        <v>87202.884491079662</v>
      </c>
      <c r="H33" s="52">
        <f t="shared" si="8"/>
        <v>87202.884491079662</v>
      </c>
      <c r="I33" s="65">
        <f t="shared" si="1"/>
        <v>0</v>
      </c>
      <c r="J33" s="65"/>
      <c r="K33" s="130"/>
      <c r="L33" s="67">
        <f t="shared" si="9"/>
        <v>0</v>
      </c>
      <c r="M33" s="130"/>
      <c r="N33" s="67">
        <f t="shared" si="3"/>
        <v>0</v>
      </c>
      <c r="O33" s="67">
        <f t="shared" si="4"/>
        <v>0</v>
      </c>
      <c r="P33" s="4"/>
    </row>
    <row r="34" spans="2:16">
      <c r="B34" t="str">
        <f t="shared" si="0"/>
        <v/>
      </c>
      <c r="C34" s="62">
        <f>IF(D11="","-",+C33+1)</f>
        <v>2039</v>
      </c>
      <c r="D34" s="71">
        <f>IF(F33+SUM(E$17:E33)=D$10,F33,D$10-SUM(E$17:E33))</f>
        <v>492789.81818181835</v>
      </c>
      <c r="E34" s="69">
        <f t="shared" si="5"/>
        <v>28987.636363636364</v>
      </c>
      <c r="F34" s="68">
        <f t="shared" si="6"/>
        <v>463802.181818182</v>
      </c>
      <c r="G34" s="70">
        <f t="shared" si="7"/>
        <v>83876.298883797179</v>
      </c>
      <c r="H34" s="52">
        <f t="shared" si="8"/>
        <v>83876.298883797179</v>
      </c>
      <c r="I34" s="65">
        <f t="shared" si="1"/>
        <v>0</v>
      </c>
      <c r="J34" s="65"/>
      <c r="K34" s="130"/>
      <c r="L34" s="67">
        <f t="shared" si="9"/>
        <v>0</v>
      </c>
      <c r="M34" s="130"/>
      <c r="N34" s="67">
        <f t="shared" si="3"/>
        <v>0</v>
      </c>
      <c r="O34" s="67">
        <f t="shared" si="4"/>
        <v>0</v>
      </c>
      <c r="P34" s="4"/>
    </row>
    <row r="35" spans="2:16">
      <c r="B35" t="str">
        <f t="shared" si="0"/>
        <v/>
      </c>
      <c r="C35" s="62">
        <f>IF(D11="","-",+C34+1)</f>
        <v>2040</v>
      </c>
      <c r="D35" s="71">
        <f>IF(F34+SUM(E$17:E34)=D$10,F34,D$10-SUM(E$17:E34))</f>
        <v>463802.181818182</v>
      </c>
      <c r="E35" s="69">
        <f t="shared" si="5"/>
        <v>28987.636363636364</v>
      </c>
      <c r="F35" s="68">
        <f t="shared" si="6"/>
        <v>434814.54545454565</v>
      </c>
      <c r="G35" s="70">
        <f t="shared" si="7"/>
        <v>80549.713276514711</v>
      </c>
      <c r="H35" s="52">
        <f t="shared" si="8"/>
        <v>80549.713276514711</v>
      </c>
      <c r="I35" s="65">
        <f t="shared" si="1"/>
        <v>0</v>
      </c>
      <c r="J35" s="65"/>
      <c r="K35" s="130"/>
      <c r="L35" s="67">
        <f t="shared" si="9"/>
        <v>0</v>
      </c>
      <c r="M35" s="130"/>
      <c r="N35" s="67">
        <f t="shared" si="3"/>
        <v>0</v>
      </c>
      <c r="O35" s="67">
        <f t="shared" si="4"/>
        <v>0</v>
      </c>
      <c r="P35" s="4"/>
    </row>
    <row r="36" spans="2:16">
      <c r="B36" t="str">
        <f t="shared" si="0"/>
        <v/>
      </c>
      <c r="C36" s="62">
        <f>IF(D11="","-",+C35+1)</f>
        <v>2041</v>
      </c>
      <c r="D36" s="71">
        <f>IF(F35+SUM(E$17:E35)=D$10,F35,D$10-SUM(E$17:E35))</f>
        <v>434814.54545454565</v>
      </c>
      <c r="E36" s="69">
        <f t="shared" si="5"/>
        <v>28987.636363636364</v>
      </c>
      <c r="F36" s="68">
        <f t="shared" si="6"/>
        <v>405826.90909090929</v>
      </c>
      <c r="G36" s="70">
        <f t="shared" si="7"/>
        <v>77223.127669232243</v>
      </c>
      <c r="H36" s="52">
        <f t="shared" si="8"/>
        <v>77223.127669232243</v>
      </c>
      <c r="I36" s="65">
        <f t="shared" si="1"/>
        <v>0</v>
      </c>
      <c r="J36" s="65"/>
      <c r="K36" s="130"/>
      <c r="L36" s="67">
        <f t="shared" si="9"/>
        <v>0</v>
      </c>
      <c r="M36" s="130"/>
      <c r="N36" s="67">
        <f t="shared" si="3"/>
        <v>0</v>
      </c>
      <c r="O36" s="67">
        <f t="shared" si="4"/>
        <v>0</v>
      </c>
      <c r="P36" s="4"/>
    </row>
    <row r="37" spans="2:16">
      <c r="B37" t="str">
        <f t="shared" si="0"/>
        <v/>
      </c>
      <c r="C37" s="62">
        <f>IF(D11="","-",+C36+1)</f>
        <v>2042</v>
      </c>
      <c r="D37" s="71">
        <f>IF(F36+SUM(E$17:E36)=D$10,F36,D$10-SUM(E$17:E36))</f>
        <v>405826.90909090929</v>
      </c>
      <c r="E37" s="69">
        <f t="shared" si="5"/>
        <v>28987.636363636364</v>
      </c>
      <c r="F37" s="68">
        <f t="shared" si="6"/>
        <v>376839.27272727294</v>
      </c>
      <c r="G37" s="70">
        <f t="shared" si="7"/>
        <v>73896.542061949775</v>
      </c>
      <c r="H37" s="52">
        <f t="shared" si="8"/>
        <v>73896.542061949775</v>
      </c>
      <c r="I37" s="65">
        <f t="shared" si="1"/>
        <v>0</v>
      </c>
      <c r="J37" s="65"/>
      <c r="K37" s="130"/>
      <c r="L37" s="67">
        <f t="shared" si="9"/>
        <v>0</v>
      </c>
      <c r="M37" s="130"/>
      <c r="N37" s="67">
        <f t="shared" si="3"/>
        <v>0</v>
      </c>
      <c r="O37" s="67">
        <f t="shared" si="4"/>
        <v>0</v>
      </c>
      <c r="P37" s="4"/>
    </row>
    <row r="38" spans="2:16">
      <c r="B38" t="str">
        <f t="shared" si="0"/>
        <v/>
      </c>
      <c r="C38" s="62">
        <f>IF(D11="","-",+C37+1)</f>
        <v>2043</v>
      </c>
      <c r="D38" s="71">
        <f>IF(F37+SUM(E$17:E37)=D$10,F37,D$10-SUM(E$17:E37))</f>
        <v>376839.27272727294</v>
      </c>
      <c r="E38" s="69">
        <f t="shared" si="5"/>
        <v>28987.636363636364</v>
      </c>
      <c r="F38" s="68">
        <f t="shared" si="6"/>
        <v>347851.63636363659</v>
      </c>
      <c r="G38" s="70">
        <f t="shared" si="7"/>
        <v>70569.956454667292</v>
      </c>
      <c r="H38" s="52">
        <f t="shared" si="8"/>
        <v>70569.956454667292</v>
      </c>
      <c r="I38" s="65">
        <f t="shared" si="1"/>
        <v>0</v>
      </c>
      <c r="J38" s="65"/>
      <c r="K38" s="130"/>
      <c r="L38" s="67">
        <f t="shared" si="9"/>
        <v>0</v>
      </c>
      <c r="M38" s="130"/>
      <c r="N38" s="67">
        <f t="shared" si="3"/>
        <v>0</v>
      </c>
      <c r="O38" s="67">
        <f t="shared" si="4"/>
        <v>0</v>
      </c>
      <c r="P38" s="4"/>
    </row>
    <row r="39" spans="2:16">
      <c r="B39" t="str">
        <f t="shared" si="0"/>
        <v/>
      </c>
      <c r="C39" s="62">
        <f>IF(D11="","-",+C38+1)</f>
        <v>2044</v>
      </c>
      <c r="D39" s="71">
        <f>IF(F38+SUM(E$17:E38)=D$10,F38,D$10-SUM(E$17:E38))</f>
        <v>347851.63636363659</v>
      </c>
      <c r="E39" s="69">
        <f t="shared" si="5"/>
        <v>28987.636363636364</v>
      </c>
      <c r="F39" s="68">
        <f t="shared" si="6"/>
        <v>318864.00000000023</v>
      </c>
      <c r="G39" s="70">
        <f t="shared" si="7"/>
        <v>67243.370847384824</v>
      </c>
      <c r="H39" s="52">
        <f t="shared" si="8"/>
        <v>67243.370847384824</v>
      </c>
      <c r="I39" s="65">
        <f t="shared" si="1"/>
        <v>0</v>
      </c>
      <c r="J39" s="65"/>
      <c r="K39" s="130"/>
      <c r="L39" s="67">
        <f t="shared" si="9"/>
        <v>0</v>
      </c>
      <c r="M39" s="130"/>
      <c r="N39" s="67">
        <f t="shared" si="3"/>
        <v>0</v>
      </c>
      <c r="O39" s="67">
        <f t="shared" si="4"/>
        <v>0</v>
      </c>
      <c r="P39" s="4"/>
    </row>
    <row r="40" spans="2:16">
      <c r="B40" t="str">
        <f t="shared" si="0"/>
        <v/>
      </c>
      <c r="C40" s="62">
        <f>IF(D11="","-",+C39+1)</f>
        <v>2045</v>
      </c>
      <c r="D40" s="71">
        <f>IF(F39+SUM(E$17:E39)=D$10,F39,D$10-SUM(E$17:E39))</f>
        <v>318864.00000000023</v>
      </c>
      <c r="E40" s="69">
        <f t="shared" si="5"/>
        <v>28987.636363636364</v>
      </c>
      <c r="F40" s="68">
        <f t="shared" si="6"/>
        <v>289876.36363636388</v>
      </c>
      <c r="G40" s="70">
        <f t="shared" si="7"/>
        <v>63916.785240102356</v>
      </c>
      <c r="H40" s="52">
        <f t="shared" si="8"/>
        <v>63916.785240102356</v>
      </c>
      <c r="I40" s="65">
        <f t="shared" si="1"/>
        <v>0</v>
      </c>
      <c r="J40" s="65"/>
      <c r="K40" s="130"/>
      <c r="L40" s="67">
        <f t="shared" si="9"/>
        <v>0</v>
      </c>
      <c r="M40" s="130"/>
      <c r="N40" s="67">
        <f t="shared" si="3"/>
        <v>0</v>
      </c>
      <c r="O40" s="67">
        <f t="shared" si="4"/>
        <v>0</v>
      </c>
      <c r="P40" s="4"/>
    </row>
    <row r="41" spans="2:16">
      <c r="B41" t="str">
        <f t="shared" si="0"/>
        <v/>
      </c>
      <c r="C41" s="62">
        <f>IF(D11="","-",+C40+1)</f>
        <v>2046</v>
      </c>
      <c r="D41" s="71">
        <f>IF(F40+SUM(E$17:E40)=D$10,F40,D$10-SUM(E$17:E40))</f>
        <v>289876.36363636388</v>
      </c>
      <c r="E41" s="69">
        <f t="shared" si="5"/>
        <v>28987.636363636364</v>
      </c>
      <c r="F41" s="68">
        <f t="shared" si="6"/>
        <v>260888.72727272753</v>
      </c>
      <c r="G41" s="70">
        <f t="shared" si="7"/>
        <v>60590.199632819887</v>
      </c>
      <c r="H41" s="52">
        <f t="shared" si="8"/>
        <v>60590.199632819887</v>
      </c>
      <c r="I41" s="65">
        <f t="shared" si="1"/>
        <v>0</v>
      </c>
      <c r="J41" s="65"/>
      <c r="K41" s="130"/>
      <c r="L41" s="67">
        <f t="shared" si="9"/>
        <v>0</v>
      </c>
      <c r="M41" s="130"/>
      <c r="N41" s="67">
        <f t="shared" si="3"/>
        <v>0</v>
      </c>
      <c r="O41" s="67">
        <f t="shared" si="4"/>
        <v>0</v>
      </c>
      <c r="P41" s="4"/>
    </row>
    <row r="42" spans="2:16">
      <c r="B42" t="str">
        <f t="shared" si="0"/>
        <v/>
      </c>
      <c r="C42" s="62">
        <f>IF(D11="","-",+C41+1)</f>
        <v>2047</v>
      </c>
      <c r="D42" s="71">
        <f>IF(F41+SUM(E$17:E41)=D$10,F41,D$10-SUM(E$17:E41))</f>
        <v>260888.72727272753</v>
      </c>
      <c r="E42" s="69">
        <f t="shared" si="5"/>
        <v>28987.636363636364</v>
      </c>
      <c r="F42" s="68">
        <f t="shared" si="6"/>
        <v>231901.09090909117</v>
      </c>
      <c r="G42" s="70">
        <f t="shared" si="7"/>
        <v>57263.614025537412</v>
      </c>
      <c r="H42" s="52">
        <f t="shared" si="8"/>
        <v>57263.614025537412</v>
      </c>
      <c r="I42" s="65">
        <f t="shared" si="1"/>
        <v>0</v>
      </c>
      <c r="J42" s="65"/>
      <c r="K42" s="130"/>
      <c r="L42" s="67">
        <f t="shared" si="9"/>
        <v>0</v>
      </c>
      <c r="M42" s="130"/>
      <c r="N42" s="67">
        <f t="shared" si="3"/>
        <v>0</v>
      </c>
      <c r="O42" s="67">
        <f t="shared" si="4"/>
        <v>0</v>
      </c>
      <c r="P42" s="4"/>
    </row>
    <row r="43" spans="2:16">
      <c r="B43" t="str">
        <f t="shared" si="0"/>
        <v/>
      </c>
      <c r="C43" s="62">
        <f>IF(D11="","-",+C42+1)</f>
        <v>2048</v>
      </c>
      <c r="D43" s="71">
        <f>IF(F42+SUM(E$17:E42)=D$10,F42,D$10-SUM(E$17:E42))</f>
        <v>231901.09090909117</v>
      </c>
      <c r="E43" s="69">
        <f t="shared" si="5"/>
        <v>28987.636363636364</v>
      </c>
      <c r="F43" s="68">
        <f t="shared" si="6"/>
        <v>202913.45454545482</v>
      </c>
      <c r="G43" s="70">
        <f t="shared" si="7"/>
        <v>53937.028418254937</v>
      </c>
      <c r="H43" s="52">
        <f t="shared" si="8"/>
        <v>53937.028418254937</v>
      </c>
      <c r="I43" s="65">
        <f t="shared" si="1"/>
        <v>0</v>
      </c>
      <c r="J43" s="65"/>
      <c r="K43" s="130"/>
      <c r="L43" s="67">
        <f t="shared" si="9"/>
        <v>0</v>
      </c>
      <c r="M43" s="130"/>
      <c r="N43" s="67">
        <f t="shared" si="3"/>
        <v>0</v>
      </c>
      <c r="O43" s="67">
        <f t="shared" si="4"/>
        <v>0</v>
      </c>
      <c r="P43" s="4"/>
    </row>
    <row r="44" spans="2:16">
      <c r="B44" t="str">
        <f t="shared" si="0"/>
        <v/>
      </c>
      <c r="C44" s="62">
        <f>IF(D11="","-",+C43+1)</f>
        <v>2049</v>
      </c>
      <c r="D44" s="71">
        <f>IF(F43+SUM(E$17:E43)=D$10,F43,D$10-SUM(E$17:E43))</f>
        <v>202913.45454545482</v>
      </c>
      <c r="E44" s="69">
        <f t="shared" si="5"/>
        <v>28987.636363636364</v>
      </c>
      <c r="F44" s="68">
        <f t="shared" si="6"/>
        <v>173925.81818181847</v>
      </c>
      <c r="G44" s="70">
        <f t="shared" si="7"/>
        <v>50610.442810972469</v>
      </c>
      <c r="H44" s="52">
        <f t="shared" si="8"/>
        <v>50610.442810972469</v>
      </c>
      <c r="I44" s="65">
        <f t="shared" si="1"/>
        <v>0</v>
      </c>
      <c r="J44" s="65"/>
      <c r="K44" s="130"/>
      <c r="L44" s="67">
        <f t="shared" si="9"/>
        <v>0</v>
      </c>
      <c r="M44" s="130"/>
      <c r="N44" s="67">
        <f t="shared" si="3"/>
        <v>0</v>
      </c>
      <c r="O44" s="67">
        <f t="shared" si="4"/>
        <v>0</v>
      </c>
      <c r="P44" s="4"/>
    </row>
    <row r="45" spans="2:16">
      <c r="B45" t="str">
        <f t="shared" si="0"/>
        <v/>
      </c>
      <c r="C45" s="62">
        <f>IF(D11="","-",+C44+1)</f>
        <v>2050</v>
      </c>
      <c r="D45" s="71">
        <f>IF(F44+SUM(E$17:E44)=D$10,F44,D$10-SUM(E$17:E44))</f>
        <v>173925.81818181847</v>
      </c>
      <c r="E45" s="69">
        <f t="shared" si="5"/>
        <v>28987.636363636364</v>
      </c>
      <c r="F45" s="68">
        <f t="shared" si="6"/>
        <v>144938.18181818211</v>
      </c>
      <c r="G45" s="70">
        <f t="shared" si="7"/>
        <v>47283.85720369</v>
      </c>
      <c r="H45" s="52">
        <f t="shared" si="8"/>
        <v>47283.85720369</v>
      </c>
      <c r="I45" s="65">
        <f t="shared" si="1"/>
        <v>0</v>
      </c>
      <c r="J45" s="65"/>
      <c r="K45" s="130"/>
      <c r="L45" s="67">
        <f t="shared" si="9"/>
        <v>0</v>
      </c>
      <c r="M45" s="130"/>
      <c r="N45" s="67">
        <f t="shared" si="3"/>
        <v>0</v>
      </c>
      <c r="O45" s="67">
        <f t="shared" si="4"/>
        <v>0</v>
      </c>
      <c r="P45" s="4"/>
    </row>
    <row r="46" spans="2:16">
      <c r="B46" t="str">
        <f t="shared" si="0"/>
        <v/>
      </c>
      <c r="C46" s="62">
        <f>IF(D11="","-",+C45+1)</f>
        <v>2051</v>
      </c>
      <c r="D46" s="71">
        <f>IF(F45+SUM(E$17:E45)=D$10,F45,D$10-SUM(E$17:E45))</f>
        <v>144938.18181818211</v>
      </c>
      <c r="E46" s="69">
        <f t="shared" si="5"/>
        <v>28987.636363636364</v>
      </c>
      <c r="F46" s="68">
        <f t="shared" si="6"/>
        <v>115950.54545454575</v>
      </c>
      <c r="G46" s="70">
        <f t="shared" si="7"/>
        <v>43957.271596407525</v>
      </c>
      <c r="H46" s="52">
        <f t="shared" si="8"/>
        <v>43957.271596407525</v>
      </c>
      <c r="I46" s="65">
        <f t="shared" si="1"/>
        <v>0</v>
      </c>
      <c r="J46" s="65"/>
      <c r="K46" s="130"/>
      <c r="L46" s="67">
        <f t="shared" si="9"/>
        <v>0</v>
      </c>
      <c r="M46" s="130"/>
      <c r="N46" s="67">
        <f t="shared" si="3"/>
        <v>0</v>
      </c>
      <c r="O46" s="67">
        <f t="shared" si="4"/>
        <v>0</v>
      </c>
      <c r="P46" s="4"/>
    </row>
    <row r="47" spans="2:16">
      <c r="B47" t="str">
        <f t="shared" si="0"/>
        <v/>
      </c>
      <c r="C47" s="62">
        <f>IF(D11="","-",+C46+1)</f>
        <v>2052</v>
      </c>
      <c r="D47" s="71">
        <f>IF(F46+SUM(E$17:E46)=D$10,F46,D$10-SUM(E$17:E46))</f>
        <v>115950.54545454575</v>
      </c>
      <c r="E47" s="69">
        <f t="shared" si="5"/>
        <v>28987.636363636364</v>
      </c>
      <c r="F47" s="68">
        <f t="shared" si="6"/>
        <v>86962.909090909379</v>
      </c>
      <c r="G47" s="70">
        <f t="shared" si="7"/>
        <v>40630.68598912505</v>
      </c>
      <c r="H47" s="52">
        <f t="shared" si="8"/>
        <v>40630.68598912505</v>
      </c>
      <c r="I47" s="65">
        <f t="shared" si="1"/>
        <v>0</v>
      </c>
      <c r="J47" s="65"/>
      <c r="K47" s="130"/>
      <c r="L47" s="67">
        <f t="shared" si="9"/>
        <v>0</v>
      </c>
      <c r="M47" s="130"/>
      <c r="N47" s="67">
        <f t="shared" si="3"/>
        <v>0</v>
      </c>
      <c r="O47" s="67">
        <f t="shared" si="4"/>
        <v>0</v>
      </c>
      <c r="P47" s="4"/>
    </row>
    <row r="48" spans="2:16">
      <c r="B48" t="str">
        <f t="shared" si="0"/>
        <v/>
      </c>
      <c r="C48" s="62">
        <f>IF(D11="","-",+C47+1)</f>
        <v>2053</v>
      </c>
      <c r="D48" s="71">
        <f>IF(F47+SUM(E$17:E47)=D$10,F47,D$10-SUM(E$17:E47))</f>
        <v>86962.909090909379</v>
      </c>
      <c r="E48" s="69">
        <f t="shared" si="5"/>
        <v>28987.636363636364</v>
      </c>
      <c r="F48" s="68">
        <f t="shared" si="6"/>
        <v>57975.272727273012</v>
      </c>
      <c r="G48" s="70">
        <f t="shared" si="7"/>
        <v>37304.100381842582</v>
      </c>
      <c r="H48" s="52">
        <f t="shared" si="8"/>
        <v>37304.100381842582</v>
      </c>
      <c r="I48" s="65">
        <f t="shared" si="1"/>
        <v>0</v>
      </c>
      <c r="J48" s="65"/>
      <c r="K48" s="130"/>
      <c r="L48" s="67">
        <f t="shared" si="9"/>
        <v>0</v>
      </c>
      <c r="M48" s="130"/>
      <c r="N48" s="67">
        <f t="shared" si="3"/>
        <v>0</v>
      </c>
      <c r="O48" s="67">
        <f t="shared" si="4"/>
        <v>0</v>
      </c>
      <c r="P48" s="4"/>
    </row>
    <row r="49" spans="2:16">
      <c r="B49" t="str">
        <f t="shared" si="0"/>
        <v/>
      </c>
      <c r="C49" s="62">
        <f>IF(D11="","-",+C48+1)</f>
        <v>2054</v>
      </c>
      <c r="D49" s="71">
        <f>IF(F48+SUM(E$17:E48)=D$10,F48,D$10-SUM(E$17:E48))</f>
        <v>57975.272727273012</v>
      </c>
      <c r="E49" s="69">
        <f t="shared" si="5"/>
        <v>28987.636363636364</v>
      </c>
      <c r="F49" s="68">
        <f t="shared" si="6"/>
        <v>28987.636363636648</v>
      </c>
      <c r="G49" s="70">
        <f t="shared" si="7"/>
        <v>33977.514774560106</v>
      </c>
      <c r="H49" s="52">
        <f t="shared" si="8"/>
        <v>33977.514774560106</v>
      </c>
      <c r="I49" s="65">
        <f t="shared" si="1"/>
        <v>0</v>
      </c>
      <c r="J49" s="65"/>
      <c r="K49" s="130"/>
      <c r="L49" s="67">
        <f t="shared" si="9"/>
        <v>0</v>
      </c>
      <c r="M49" s="130"/>
      <c r="N49" s="67">
        <f t="shared" si="3"/>
        <v>0</v>
      </c>
      <c r="O49" s="67">
        <f t="shared" si="4"/>
        <v>0</v>
      </c>
      <c r="P49" s="4"/>
    </row>
    <row r="50" spans="2:16">
      <c r="B50" t="str">
        <f t="shared" si="0"/>
        <v/>
      </c>
      <c r="C50" s="62">
        <f>IF(D11="","-",+C49+1)</f>
        <v>2055</v>
      </c>
      <c r="D50" s="71">
        <f>IF(F49+SUM(E$17:E49)=D$10,F49,D$10-SUM(E$17:E49))</f>
        <v>28987.636363636648</v>
      </c>
      <c r="E50" s="69">
        <f t="shared" si="5"/>
        <v>28987.636363636364</v>
      </c>
      <c r="F50" s="68">
        <f t="shared" si="6"/>
        <v>2.8376234695315361E-10</v>
      </c>
      <c r="G50" s="70">
        <f t="shared" si="7"/>
        <v>30650.929167277634</v>
      </c>
      <c r="H50" s="52">
        <f t="shared" si="8"/>
        <v>30650.929167277634</v>
      </c>
      <c r="I50" s="65">
        <f t="shared" si="1"/>
        <v>0</v>
      </c>
      <c r="J50" s="65"/>
      <c r="K50" s="130"/>
      <c r="L50" s="67">
        <f t="shared" si="9"/>
        <v>0</v>
      </c>
      <c r="M50" s="130"/>
      <c r="N50" s="67">
        <f t="shared" si="3"/>
        <v>0</v>
      </c>
      <c r="O50" s="67">
        <f t="shared" si="4"/>
        <v>0</v>
      </c>
      <c r="P50" s="4"/>
    </row>
    <row r="51" spans="2:16">
      <c r="B51" t="str">
        <f t="shared" si="0"/>
        <v/>
      </c>
      <c r="C51" s="62">
        <f>IF(D11="","-",+C50+1)</f>
        <v>2056</v>
      </c>
      <c r="D51" s="71">
        <f>IF(F50+SUM(E$17:E50)=D$10,F50,D$10-SUM(E$17:E50))</f>
        <v>2.8376234695315361E-10</v>
      </c>
      <c r="E51" s="69">
        <f t="shared" si="5"/>
        <v>2.8376234695315361E-10</v>
      </c>
      <c r="F51" s="68">
        <f t="shared" si="6"/>
        <v>0</v>
      </c>
      <c r="G51" s="70">
        <f t="shared" si="7"/>
        <v>3.0004445646048842E-10</v>
      </c>
      <c r="H51" s="52">
        <f t="shared" si="8"/>
        <v>3.0004445646048842E-10</v>
      </c>
      <c r="I51" s="65">
        <f t="shared" si="1"/>
        <v>0</v>
      </c>
      <c r="J51" s="65"/>
      <c r="K51" s="130"/>
      <c r="L51" s="67">
        <f t="shared" si="9"/>
        <v>0</v>
      </c>
      <c r="M51" s="130"/>
      <c r="N51" s="67">
        <f t="shared" si="3"/>
        <v>0</v>
      </c>
      <c r="O51" s="67">
        <f t="shared" si="4"/>
        <v>0</v>
      </c>
      <c r="P51" s="4"/>
    </row>
    <row r="52" spans="2:16">
      <c r="B52" t="str">
        <f t="shared" si="0"/>
        <v/>
      </c>
      <c r="C52" s="62">
        <f>IF(D11="","-",+C51+1)</f>
        <v>2057</v>
      </c>
      <c r="D52" s="71">
        <f>IF(F51+SUM(E$17:E51)=D$10,F51,D$10-SUM(E$17:E51))</f>
        <v>0</v>
      </c>
      <c r="E52" s="69">
        <f t="shared" si="5"/>
        <v>0</v>
      </c>
      <c r="F52" s="68">
        <f t="shared" si="6"/>
        <v>0</v>
      </c>
      <c r="G52" s="70">
        <f t="shared" si="7"/>
        <v>0</v>
      </c>
      <c r="H52" s="52">
        <f t="shared" si="8"/>
        <v>0</v>
      </c>
      <c r="I52" s="65">
        <f t="shared" si="1"/>
        <v>0</v>
      </c>
      <c r="J52" s="65"/>
      <c r="K52" s="130"/>
      <c r="L52" s="67">
        <f t="shared" si="9"/>
        <v>0</v>
      </c>
      <c r="M52" s="130"/>
      <c r="N52" s="67">
        <f t="shared" si="3"/>
        <v>0</v>
      </c>
      <c r="O52" s="67">
        <f t="shared" si="4"/>
        <v>0</v>
      </c>
      <c r="P52" s="4"/>
    </row>
    <row r="53" spans="2:16">
      <c r="B53" t="str">
        <f t="shared" si="0"/>
        <v/>
      </c>
      <c r="C53" s="62">
        <f>IF(D11="","-",+C52+1)</f>
        <v>2058</v>
      </c>
      <c r="D53" s="71">
        <f>IF(F52+SUM(E$17:E52)=D$10,F52,D$10-SUM(E$17:E52))</f>
        <v>0</v>
      </c>
      <c r="E53" s="69">
        <f t="shared" si="5"/>
        <v>0</v>
      </c>
      <c r="F53" s="68">
        <f t="shared" si="6"/>
        <v>0</v>
      </c>
      <c r="G53" s="70">
        <f t="shared" si="7"/>
        <v>0</v>
      </c>
      <c r="H53" s="52">
        <f t="shared" si="8"/>
        <v>0</v>
      </c>
      <c r="I53" s="65">
        <f t="shared" si="1"/>
        <v>0</v>
      </c>
      <c r="J53" s="65"/>
      <c r="K53" s="130"/>
      <c r="L53" s="67">
        <f t="shared" si="9"/>
        <v>0</v>
      </c>
      <c r="M53" s="130"/>
      <c r="N53" s="67">
        <f t="shared" si="3"/>
        <v>0</v>
      </c>
      <c r="O53" s="67">
        <f t="shared" si="4"/>
        <v>0</v>
      </c>
      <c r="P53" s="4"/>
    </row>
    <row r="54" spans="2:16">
      <c r="B54" t="str">
        <f t="shared" si="0"/>
        <v/>
      </c>
      <c r="C54" s="62">
        <f>IF(D11="","-",+C53+1)</f>
        <v>2059</v>
      </c>
      <c r="D54" s="71">
        <f>IF(F53+SUM(E$17:E53)=D$10,F53,D$10-SUM(E$17:E53))</f>
        <v>0</v>
      </c>
      <c r="E54" s="69">
        <f t="shared" si="5"/>
        <v>0</v>
      </c>
      <c r="F54" s="68">
        <f t="shared" si="6"/>
        <v>0</v>
      </c>
      <c r="G54" s="70">
        <f t="shared" si="7"/>
        <v>0</v>
      </c>
      <c r="H54" s="52">
        <f t="shared" si="8"/>
        <v>0</v>
      </c>
      <c r="I54" s="65">
        <f t="shared" si="1"/>
        <v>0</v>
      </c>
      <c r="J54" s="65"/>
      <c r="K54" s="130"/>
      <c r="L54" s="67">
        <f t="shared" si="9"/>
        <v>0</v>
      </c>
      <c r="M54" s="130"/>
      <c r="N54" s="67">
        <f t="shared" si="3"/>
        <v>0</v>
      </c>
      <c r="O54" s="67">
        <f t="shared" si="4"/>
        <v>0</v>
      </c>
      <c r="P54" s="4"/>
    </row>
    <row r="55" spans="2:16">
      <c r="B55" t="str">
        <f t="shared" si="0"/>
        <v/>
      </c>
      <c r="C55" s="62">
        <f>IF(D11="","-",+C54+1)</f>
        <v>2060</v>
      </c>
      <c r="D55" s="71">
        <f>IF(F54+SUM(E$17:E54)=D$10,F54,D$10-SUM(E$17:E54))</f>
        <v>0</v>
      </c>
      <c r="E55" s="69">
        <f t="shared" si="5"/>
        <v>0</v>
      </c>
      <c r="F55" s="68">
        <f t="shared" si="6"/>
        <v>0</v>
      </c>
      <c r="G55" s="70">
        <f t="shared" si="7"/>
        <v>0</v>
      </c>
      <c r="H55" s="52">
        <f t="shared" si="8"/>
        <v>0</v>
      </c>
      <c r="I55" s="65">
        <f t="shared" si="1"/>
        <v>0</v>
      </c>
      <c r="J55" s="65"/>
      <c r="K55" s="130"/>
      <c r="L55" s="67">
        <f t="shared" si="9"/>
        <v>0</v>
      </c>
      <c r="M55" s="130"/>
      <c r="N55" s="67">
        <f t="shared" si="3"/>
        <v>0</v>
      </c>
      <c r="O55" s="67">
        <f t="shared" si="4"/>
        <v>0</v>
      </c>
      <c r="P55" s="4"/>
    </row>
    <row r="56" spans="2:16">
      <c r="B56" t="str">
        <f t="shared" si="0"/>
        <v/>
      </c>
      <c r="C56" s="62">
        <f>IF(D11="","-",+C55+1)</f>
        <v>2061</v>
      </c>
      <c r="D56" s="71">
        <f>IF(F55+SUM(E$17:E55)=D$10,F55,D$10-SUM(E$17:E55))</f>
        <v>0</v>
      </c>
      <c r="E56" s="69">
        <f t="shared" si="5"/>
        <v>0</v>
      </c>
      <c r="F56" s="68">
        <f t="shared" si="6"/>
        <v>0</v>
      </c>
      <c r="G56" s="70">
        <f t="shared" si="7"/>
        <v>0</v>
      </c>
      <c r="H56" s="52">
        <f t="shared" si="8"/>
        <v>0</v>
      </c>
      <c r="I56" s="65">
        <f t="shared" si="1"/>
        <v>0</v>
      </c>
      <c r="J56" s="65"/>
      <c r="K56" s="130"/>
      <c r="L56" s="67">
        <f t="shared" si="9"/>
        <v>0</v>
      </c>
      <c r="M56" s="130"/>
      <c r="N56" s="67">
        <f t="shared" si="3"/>
        <v>0</v>
      </c>
      <c r="O56" s="67">
        <f t="shared" si="4"/>
        <v>0</v>
      </c>
      <c r="P56" s="4"/>
    </row>
    <row r="57" spans="2:16">
      <c r="B57" t="str">
        <f t="shared" si="0"/>
        <v/>
      </c>
      <c r="C57" s="62">
        <f>IF(D11="","-",+C56+1)</f>
        <v>2062</v>
      </c>
      <c r="D57" s="71">
        <f>IF(F56+SUM(E$17:E56)=D$10,F56,D$10-SUM(E$17:E56))</f>
        <v>0</v>
      </c>
      <c r="E57" s="69">
        <f t="shared" si="5"/>
        <v>0</v>
      </c>
      <c r="F57" s="68">
        <f t="shared" si="6"/>
        <v>0</v>
      </c>
      <c r="G57" s="70">
        <f t="shared" si="7"/>
        <v>0</v>
      </c>
      <c r="H57" s="52">
        <f t="shared" si="8"/>
        <v>0</v>
      </c>
      <c r="I57" s="65">
        <f t="shared" si="1"/>
        <v>0</v>
      </c>
      <c r="J57" s="65"/>
      <c r="K57" s="130"/>
      <c r="L57" s="67">
        <f t="shared" si="9"/>
        <v>0</v>
      </c>
      <c r="M57" s="130"/>
      <c r="N57" s="67">
        <f t="shared" si="3"/>
        <v>0</v>
      </c>
      <c r="O57" s="67">
        <f t="shared" si="4"/>
        <v>0</v>
      </c>
      <c r="P57" s="4"/>
    </row>
    <row r="58" spans="2:16">
      <c r="B58" t="str">
        <f t="shared" si="0"/>
        <v/>
      </c>
      <c r="C58" s="62">
        <f>IF(D11="","-",+C57+1)</f>
        <v>2063</v>
      </c>
      <c r="D58" s="71">
        <f>IF(F57+SUM(E$17:E57)=D$10,F57,D$10-SUM(E$17:E57))</f>
        <v>0</v>
      </c>
      <c r="E58" s="69">
        <f t="shared" si="5"/>
        <v>0</v>
      </c>
      <c r="F58" s="68">
        <f t="shared" si="6"/>
        <v>0</v>
      </c>
      <c r="G58" s="70">
        <f t="shared" si="7"/>
        <v>0</v>
      </c>
      <c r="H58" s="52">
        <f t="shared" si="8"/>
        <v>0</v>
      </c>
      <c r="I58" s="65">
        <f t="shared" si="1"/>
        <v>0</v>
      </c>
      <c r="J58" s="65"/>
      <c r="K58" s="130"/>
      <c r="L58" s="67">
        <f t="shared" si="9"/>
        <v>0</v>
      </c>
      <c r="M58" s="130"/>
      <c r="N58" s="67">
        <f t="shared" si="3"/>
        <v>0</v>
      </c>
      <c r="O58" s="67">
        <f t="shared" si="4"/>
        <v>0</v>
      </c>
      <c r="P58" s="4"/>
    </row>
    <row r="59" spans="2:16">
      <c r="B59" t="str">
        <f t="shared" si="0"/>
        <v/>
      </c>
      <c r="C59" s="62">
        <f>IF(D11="","-",+C58+1)</f>
        <v>2064</v>
      </c>
      <c r="D59" s="71">
        <f>IF(F58+SUM(E$17:E58)=D$10,F58,D$10-SUM(E$17:E58))</f>
        <v>0</v>
      </c>
      <c r="E59" s="69">
        <f t="shared" si="5"/>
        <v>0</v>
      </c>
      <c r="F59" s="68">
        <f t="shared" si="6"/>
        <v>0</v>
      </c>
      <c r="G59" s="70">
        <f t="shared" si="7"/>
        <v>0</v>
      </c>
      <c r="H59" s="52">
        <f t="shared" si="8"/>
        <v>0</v>
      </c>
      <c r="I59" s="65">
        <f t="shared" si="1"/>
        <v>0</v>
      </c>
      <c r="J59" s="65"/>
      <c r="K59" s="130"/>
      <c r="L59" s="67">
        <f t="shared" si="9"/>
        <v>0</v>
      </c>
      <c r="M59" s="130"/>
      <c r="N59" s="67">
        <f t="shared" si="3"/>
        <v>0</v>
      </c>
      <c r="O59" s="67">
        <f t="shared" si="4"/>
        <v>0</v>
      </c>
      <c r="P59" s="4"/>
    </row>
    <row r="60" spans="2:16">
      <c r="B60" t="str">
        <f t="shared" si="0"/>
        <v/>
      </c>
      <c r="C60" s="62">
        <f>IF(D11="","-",+C59+1)</f>
        <v>2065</v>
      </c>
      <c r="D60" s="71">
        <f>IF(F59+SUM(E$17:E59)=D$10,F59,D$10-SUM(E$17:E59))</f>
        <v>0</v>
      </c>
      <c r="E60" s="69">
        <f t="shared" si="5"/>
        <v>0</v>
      </c>
      <c r="F60" s="68">
        <f t="shared" si="6"/>
        <v>0</v>
      </c>
      <c r="G60" s="70">
        <f t="shared" si="7"/>
        <v>0</v>
      </c>
      <c r="H60" s="52">
        <f t="shared" si="8"/>
        <v>0</v>
      </c>
      <c r="I60" s="65">
        <f t="shared" si="1"/>
        <v>0</v>
      </c>
      <c r="J60" s="65"/>
      <c r="K60" s="130"/>
      <c r="L60" s="67">
        <f t="shared" si="9"/>
        <v>0</v>
      </c>
      <c r="M60" s="130"/>
      <c r="N60" s="67">
        <f t="shared" si="3"/>
        <v>0</v>
      </c>
      <c r="O60" s="67">
        <f t="shared" si="4"/>
        <v>0</v>
      </c>
      <c r="P60" s="4"/>
    </row>
    <row r="61" spans="2:16">
      <c r="B61" t="str">
        <f t="shared" si="0"/>
        <v/>
      </c>
      <c r="C61" s="62">
        <f>IF(D11="","-",+C60+1)</f>
        <v>2066</v>
      </c>
      <c r="D61" s="71">
        <f>IF(F60+SUM(E$17:E60)=D$10,F60,D$10-SUM(E$17:E60))</f>
        <v>0</v>
      </c>
      <c r="E61" s="69">
        <f t="shared" si="5"/>
        <v>0</v>
      </c>
      <c r="F61" s="68">
        <f t="shared" si="6"/>
        <v>0</v>
      </c>
      <c r="G61" s="72">
        <f t="shared" si="7"/>
        <v>0</v>
      </c>
      <c r="H61" s="52">
        <f t="shared" si="8"/>
        <v>0</v>
      </c>
      <c r="I61" s="65">
        <f t="shared" si="1"/>
        <v>0</v>
      </c>
      <c r="J61" s="65"/>
      <c r="K61" s="130"/>
      <c r="L61" s="67">
        <f t="shared" si="9"/>
        <v>0</v>
      </c>
      <c r="M61" s="130"/>
      <c r="N61" s="67">
        <f t="shared" si="3"/>
        <v>0</v>
      </c>
      <c r="O61" s="67">
        <f t="shared" si="4"/>
        <v>0</v>
      </c>
      <c r="P61" s="4"/>
    </row>
    <row r="62" spans="2:16">
      <c r="B62" t="str">
        <f t="shared" si="0"/>
        <v/>
      </c>
      <c r="C62" s="62">
        <f>IF(D11="","-",+C61+1)</f>
        <v>2067</v>
      </c>
      <c r="D62" s="71">
        <f>IF(F61+SUM(E$17:E61)=D$10,F61,D$10-SUM(E$17:E61))</f>
        <v>0</v>
      </c>
      <c r="E62" s="69">
        <f t="shared" si="5"/>
        <v>0</v>
      </c>
      <c r="F62" s="68">
        <f t="shared" si="6"/>
        <v>0</v>
      </c>
      <c r="G62" s="72">
        <f t="shared" si="7"/>
        <v>0</v>
      </c>
      <c r="H62" s="52">
        <f t="shared" si="8"/>
        <v>0</v>
      </c>
      <c r="I62" s="65">
        <f t="shared" si="1"/>
        <v>0</v>
      </c>
      <c r="J62" s="65"/>
      <c r="K62" s="130"/>
      <c r="L62" s="67">
        <f t="shared" si="9"/>
        <v>0</v>
      </c>
      <c r="M62" s="130"/>
      <c r="N62" s="67">
        <f t="shared" si="3"/>
        <v>0</v>
      </c>
      <c r="O62" s="67">
        <f t="shared" si="4"/>
        <v>0</v>
      </c>
      <c r="P62" s="4"/>
    </row>
    <row r="63" spans="2:16">
      <c r="B63" t="str">
        <f t="shared" si="0"/>
        <v/>
      </c>
      <c r="C63" s="62">
        <f>IF(D11="","-",+C62+1)</f>
        <v>2068</v>
      </c>
      <c r="D63" s="71">
        <f>IF(F62+SUM(E$17:E62)=D$10,F62,D$10-SUM(E$17:E62))</f>
        <v>0</v>
      </c>
      <c r="E63" s="69">
        <f t="shared" si="5"/>
        <v>0</v>
      </c>
      <c r="F63" s="68">
        <f t="shared" si="6"/>
        <v>0</v>
      </c>
      <c r="G63" s="72">
        <f t="shared" si="7"/>
        <v>0</v>
      </c>
      <c r="H63" s="52">
        <f t="shared" si="8"/>
        <v>0</v>
      </c>
      <c r="I63" s="65">
        <f t="shared" si="1"/>
        <v>0</v>
      </c>
      <c r="J63" s="65"/>
      <c r="K63" s="130"/>
      <c r="L63" s="67">
        <f t="shared" si="9"/>
        <v>0</v>
      </c>
      <c r="M63" s="130"/>
      <c r="N63" s="67">
        <f t="shared" si="3"/>
        <v>0</v>
      </c>
      <c r="O63" s="67">
        <f t="shared" si="4"/>
        <v>0</v>
      </c>
      <c r="P63" s="4"/>
    </row>
    <row r="64" spans="2:16">
      <c r="B64" t="str">
        <f t="shared" si="0"/>
        <v/>
      </c>
      <c r="C64" s="62">
        <f>IF(D11="","-",+C63+1)</f>
        <v>2069</v>
      </c>
      <c r="D64" s="71">
        <f>IF(F63+SUM(E$17:E63)=D$10,F63,D$10-SUM(E$17:E63))</f>
        <v>0</v>
      </c>
      <c r="E64" s="69">
        <f t="shared" si="5"/>
        <v>0</v>
      </c>
      <c r="F64" s="68">
        <f t="shared" si="6"/>
        <v>0</v>
      </c>
      <c r="G64" s="72">
        <f t="shared" si="7"/>
        <v>0</v>
      </c>
      <c r="H64" s="52">
        <f t="shared" si="8"/>
        <v>0</v>
      </c>
      <c r="I64" s="65">
        <f t="shared" si="1"/>
        <v>0</v>
      </c>
      <c r="J64" s="65"/>
      <c r="K64" s="130"/>
      <c r="L64" s="67">
        <f t="shared" si="9"/>
        <v>0</v>
      </c>
      <c r="M64" s="130"/>
      <c r="N64" s="67">
        <f t="shared" si="3"/>
        <v>0</v>
      </c>
      <c r="O64" s="67">
        <f t="shared" si="4"/>
        <v>0</v>
      </c>
      <c r="P64" s="4"/>
    </row>
    <row r="65" spans="2:16">
      <c r="B65" t="str">
        <f t="shared" si="0"/>
        <v/>
      </c>
      <c r="C65" s="62">
        <f>IF(D11="","-",+C64+1)</f>
        <v>2070</v>
      </c>
      <c r="D65" s="71">
        <f>IF(F64+SUM(E$17:E64)=D$10,F64,D$10-SUM(E$17:E64))</f>
        <v>0</v>
      </c>
      <c r="E65" s="69">
        <f t="shared" si="5"/>
        <v>0</v>
      </c>
      <c r="F65" s="68">
        <f t="shared" si="6"/>
        <v>0</v>
      </c>
      <c r="G65" s="72">
        <f t="shared" si="7"/>
        <v>0</v>
      </c>
      <c r="H65" s="52">
        <f t="shared" si="8"/>
        <v>0</v>
      </c>
      <c r="I65" s="65">
        <f t="shared" si="1"/>
        <v>0</v>
      </c>
      <c r="J65" s="65"/>
      <c r="K65" s="130"/>
      <c r="L65" s="67">
        <f t="shared" si="9"/>
        <v>0</v>
      </c>
      <c r="M65" s="130"/>
      <c r="N65" s="67">
        <f t="shared" si="3"/>
        <v>0</v>
      </c>
      <c r="O65" s="67">
        <f t="shared" si="4"/>
        <v>0</v>
      </c>
      <c r="P65" s="4"/>
    </row>
    <row r="66" spans="2:16">
      <c r="B66" t="str">
        <f t="shared" si="0"/>
        <v/>
      </c>
      <c r="C66" s="62">
        <f>IF(D11="","-",+C65+1)</f>
        <v>2071</v>
      </c>
      <c r="D66" s="71">
        <f>IF(F65+SUM(E$17:E65)=D$10,F65,D$10-SUM(E$17:E65))</f>
        <v>0</v>
      </c>
      <c r="E66" s="69">
        <f t="shared" si="5"/>
        <v>0</v>
      </c>
      <c r="F66" s="68">
        <f t="shared" si="6"/>
        <v>0</v>
      </c>
      <c r="G66" s="72">
        <f t="shared" si="7"/>
        <v>0</v>
      </c>
      <c r="H66" s="52">
        <f t="shared" si="8"/>
        <v>0</v>
      </c>
      <c r="I66" s="65">
        <f t="shared" si="1"/>
        <v>0</v>
      </c>
      <c r="J66" s="65"/>
      <c r="K66" s="130"/>
      <c r="L66" s="67">
        <f t="shared" si="9"/>
        <v>0</v>
      </c>
      <c r="M66" s="130"/>
      <c r="N66" s="67">
        <f t="shared" si="3"/>
        <v>0</v>
      </c>
      <c r="O66" s="67">
        <f t="shared" si="4"/>
        <v>0</v>
      </c>
      <c r="P66" s="4"/>
    </row>
    <row r="67" spans="2:16">
      <c r="B67" t="str">
        <f t="shared" si="0"/>
        <v/>
      </c>
      <c r="C67" s="62">
        <f>IF(D11="","-",+C66+1)</f>
        <v>2072</v>
      </c>
      <c r="D67" s="71">
        <f>IF(F66+SUM(E$17:E66)=D$10,F66,D$10-SUM(E$17:E66))</f>
        <v>0</v>
      </c>
      <c r="E67" s="69">
        <f t="shared" si="5"/>
        <v>0</v>
      </c>
      <c r="F67" s="68">
        <f t="shared" si="6"/>
        <v>0</v>
      </c>
      <c r="G67" s="72">
        <f t="shared" si="7"/>
        <v>0</v>
      </c>
      <c r="H67" s="52">
        <f t="shared" si="8"/>
        <v>0</v>
      </c>
      <c r="I67" s="65">
        <f t="shared" si="1"/>
        <v>0</v>
      </c>
      <c r="J67" s="65"/>
      <c r="K67" s="130"/>
      <c r="L67" s="67">
        <f t="shared" si="9"/>
        <v>0</v>
      </c>
      <c r="M67" s="130"/>
      <c r="N67" s="67">
        <f t="shared" si="3"/>
        <v>0</v>
      </c>
      <c r="O67" s="67">
        <f t="shared" si="4"/>
        <v>0</v>
      </c>
      <c r="P67" s="4"/>
    </row>
    <row r="68" spans="2:16">
      <c r="B68" t="str">
        <f t="shared" si="0"/>
        <v/>
      </c>
      <c r="C68" s="62">
        <f>IF(D11="","-",+C67+1)</f>
        <v>2073</v>
      </c>
      <c r="D68" s="71">
        <f>IF(F67+SUM(E$17:E67)=D$10,F67,D$10-SUM(E$17:E67))</f>
        <v>0</v>
      </c>
      <c r="E68" s="69">
        <f t="shared" si="5"/>
        <v>0</v>
      </c>
      <c r="F68" s="68">
        <f t="shared" si="6"/>
        <v>0</v>
      </c>
      <c r="G68" s="72">
        <f t="shared" si="7"/>
        <v>0</v>
      </c>
      <c r="H68" s="52">
        <f t="shared" si="8"/>
        <v>0</v>
      </c>
      <c r="I68" s="65">
        <f t="shared" si="1"/>
        <v>0</v>
      </c>
      <c r="J68" s="65"/>
      <c r="K68" s="130"/>
      <c r="L68" s="67">
        <f t="shared" si="9"/>
        <v>0</v>
      </c>
      <c r="M68" s="130"/>
      <c r="N68" s="67">
        <f t="shared" si="3"/>
        <v>0</v>
      </c>
      <c r="O68" s="67">
        <f t="shared" si="4"/>
        <v>0</v>
      </c>
      <c r="P68" s="4"/>
    </row>
    <row r="69" spans="2:16">
      <c r="B69" t="str">
        <f t="shared" si="0"/>
        <v/>
      </c>
      <c r="C69" s="62">
        <f>IF(D11="","-",+C68+1)</f>
        <v>2074</v>
      </c>
      <c r="D69" s="71">
        <f>IF(F68+SUM(E$17:E68)=D$10,F68,D$10-SUM(E$17:E68))</f>
        <v>0</v>
      </c>
      <c r="E69" s="69">
        <f t="shared" si="5"/>
        <v>0</v>
      </c>
      <c r="F69" s="68">
        <f t="shared" si="6"/>
        <v>0</v>
      </c>
      <c r="G69" s="72">
        <f t="shared" si="7"/>
        <v>0</v>
      </c>
      <c r="H69" s="52">
        <f t="shared" si="8"/>
        <v>0</v>
      </c>
      <c r="I69" s="65">
        <f t="shared" si="1"/>
        <v>0</v>
      </c>
      <c r="J69" s="65"/>
      <c r="K69" s="130"/>
      <c r="L69" s="67">
        <f t="shared" si="9"/>
        <v>0</v>
      </c>
      <c r="M69" s="130"/>
      <c r="N69" s="67">
        <f t="shared" si="3"/>
        <v>0</v>
      </c>
      <c r="O69" s="67">
        <f t="shared" si="4"/>
        <v>0</v>
      </c>
      <c r="P69" s="4"/>
    </row>
    <row r="70" spans="2:16">
      <c r="B70" t="str">
        <f t="shared" si="0"/>
        <v/>
      </c>
      <c r="C70" s="62">
        <f>IF(D11="","-",+C69+1)</f>
        <v>2075</v>
      </c>
      <c r="D70" s="71">
        <f>IF(F69+SUM(E$17:E69)=D$10,F69,D$10-SUM(E$17:E69))</f>
        <v>0</v>
      </c>
      <c r="E70" s="69">
        <f t="shared" si="5"/>
        <v>0</v>
      </c>
      <c r="F70" s="68">
        <f t="shared" si="6"/>
        <v>0</v>
      </c>
      <c r="G70" s="72">
        <f t="shared" si="7"/>
        <v>0</v>
      </c>
      <c r="H70" s="52">
        <f t="shared" si="8"/>
        <v>0</v>
      </c>
      <c r="I70" s="65">
        <f t="shared" si="1"/>
        <v>0</v>
      </c>
      <c r="J70" s="65"/>
      <c r="K70" s="130"/>
      <c r="L70" s="67">
        <f t="shared" si="9"/>
        <v>0</v>
      </c>
      <c r="M70" s="130"/>
      <c r="N70" s="67">
        <f t="shared" si="3"/>
        <v>0</v>
      </c>
      <c r="O70" s="67">
        <f t="shared" si="4"/>
        <v>0</v>
      </c>
      <c r="P70" s="4"/>
    </row>
    <row r="71" spans="2:16">
      <c r="B71" t="str">
        <f t="shared" si="0"/>
        <v/>
      </c>
      <c r="C71" s="62">
        <f>IF(D11="","-",+C70+1)</f>
        <v>2076</v>
      </c>
      <c r="D71" s="71">
        <f>IF(F70+SUM(E$17:E70)=D$10,F70,D$10-SUM(E$17:E70))</f>
        <v>0</v>
      </c>
      <c r="E71" s="69">
        <f t="shared" si="5"/>
        <v>0</v>
      </c>
      <c r="F71" s="68">
        <f t="shared" si="6"/>
        <v>0</v>
      </c>
      <c r="G71" s="72">
        <f t="shared" si="7"/>
        <v>0</v>
      </c>
      <c r="H71" s="52">
        <f t="shared" si="8"/>
        <v>0</v>
      </c>
      <c r="I71" s="65">
        <f t="shared" si="1"/>
        <v>0</v>
      </c>
      <c r="J71" s="65"/>
      <c r="K71" s="130"/>
      <c r="L71" s="67">
        <f t="shared" si="9"/>
        <v>0</v>
      </c>
      <c r="M71" s="130"/>
      <c r="N71" s="67">
        <f t="shared" si="3"/>
        <v>0</v>
      </c>
      <c r="O71" s="67">
        <f t="shared" si="4"/>
        <v>0</v>
      </c>
      <c r="P71" s="4"/>
    </row>
    <row r="72" spans="2:16">
      <c r="C72" s="62">
        <f>IF(D12="","-",+C71+1)</f>
        <v>2077</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5" thickBot="1">
      <c r="B73" t="str">
        <f>IF(D73=F71,"","IU")</f>
        <v/>
      </c>
      <c r="C73" s="73">
        <f>IF(D13="","-",+C72+1)</f>
        <v>2078</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c r="C74" s="63" t="s">
        <v>75</v>
      </c>
      <c r="D74" s="19"/>
      <c r="E74" s="19">
        <f>SUM(E17:E73)</f>
        <v>956592</v>
      </c>
      <c r="F74" s="19"/>
      <c r="G74" s="19">
        <f>SUM(G17:G73)</f>
        <v>2822806.5256854687</v>
      </c>
      <c r="H74" s="19">
        <f>SUM(H17:H73)</f>
        <v>2822806.5256854687</v>
      </c>
      <c r="I74" s="19">
        <f>SUM(I17:I73)</f>
        <v>0</v>
      </c>
      <c r="J74" s="19"/>
      <c r="K74" s="19"/>
      <c r="L74" s="19"/>
      <c r="M74" s="19"/>
      <c r="N74" s="19"/>
      <c r="O74" s="4"/>
      <c r="P74" s="4"/>
    </row>
    <row r="75" spans="2:16">
      <c r="D75" s="2"/>
      <c r="E75" s="1"/>
      <c r="F75" s="1"/>
      <c r="G75" s="1"/>
      <c r="H75" s="3"/>
      <c r="I75" s="3"/>
      <c r="J75" s="19"/>
      <c r="K75" s="3"/>
      <c r="L75" s="3"/>
      <c r="M75" s="3"/>
      <c r="N75" s="3"/>
      <c r="O75" s="1"/>
      <c r="P75" s="1"/>
    </row>
    <row r="76" spans="2:16">
      <c r="C76" s="79" t="s">
        <v>95</v>
      </c>
      <c r="D76" s="2"/>
      <c r="E76" s="1"/>
      <c r="F76" s="1"/>
      <c r="G76" s="1"/>
      <c r="H76" s="3"/>
      <c r="I76" s="3"/>
      <c r="J76" s="19"/>
      <c r="K76" s="3"/>
      <c r="L76" s="3"/>
      <c r="M76" s="3"/>
      <c r="N76" s="3"/>
      <c r="O76" s="1"/>
      <c r="P76" s="1"/>
    </row>
    <row r="77" spans="2:16">
      <c r="C77" s="31" t="s">
        <v>76</v>
      </c>
      <c r="D77" s="2"/>
      <c r="E77" s="1"/>
      <c r="F77" s="1"/>
      <c r="G77" s="1"/>
      <c r="H77" s="3"/>
      <c r="I77" s="3"/>
      <c r="J77" s="19"/>
      <c r="K77" s="3"/>
      <c r="L77" s="3"/>
      <c r="M77" s="3"/>
      <c r="N77" s="3"/>
      <c r="O77" s="4"/>
      <c r="P77" s="4"/>
    </row>
    <row r="78" spans="2:16">
      <c r="C78" s="31" t="s">
        <v>77</v>
      </c>
      <c r="D78" s="63"/>
      <c r="E78" s="63"/>
      <c r="F78" s="63"/>
      <c r="G78" s="19"/>
      <c r="H78" s="19"/>
      <c r="I78" s="80"/>
      <c r="J78" s="80"/>
      <c r="K78" s="80"/>
      <c r="L78" s="80"/>
      <c r="M78" s="80"/>
      <c r="N78" s="80"/>
      <c r="O78" s="4"/>
      <c r="P78" s="4"/>
    </row>
    <row r="79" spans="2:16">
      <c r="C79" s="31"/>
      <c r="D79" s="63"/>
      <c r="E79" s="63"/>
      <c r="F79" s="63"/>
      <c r="G79" s="19"/>
      <c r="H79" s="19"/>
      <c r="I79" s="80"/>
      <c r="J79" s="80"/>
      <c r="K79" s="80"/>
      <c r="L79" s="80"/>
      <c r="M79" s="80"/>
      <c r="N79" s="80"/>
      <c r="O79" s="4"/>
      <c r="P79" s="1"/>
    </row>
    <row r="80" spans="2:16">
      <c r="B80" s="1"/>
      <c r="C80" s="9"/>
      <c r="D80" s="2"/>
      <c r="E80" s="1"/>
      <c r="F80" s="17"/>
      <c r="G80" s="1"/>
      <c r="H80" s="3"/>
      <c r="I80" s="1"/>
      <c r="J80" s="4"/>
      <c r="K80" s="1"/>
      <c r="L80" s="1"/>
      <c r="M80" s="1"/>
      <c r="N80" s="1"/>
      <c r="O80" s="1"/>
      <c r="P80" s="1"/>
    </row>
    <row r="81" spans="1:16" ht="18">
      <c r="B81" s="1"/>
      <c r="C81" s="109"/>
      <c r="D81" s="2"/>
      <c r="E81" s="1"/>
      <c r="F81" s="17"/>
      <c r="G81" s="1"/>
      <c r="H81" s="3"/>
      <c r="I81" s="1"/>
      <c r="J81" s="4"/>
      <c r="K81" s="1"/>
      <c r="L81" s="1"/>
      <c r="M81" s="1"/>
      <c r="N81" s="1"/>
      <c r="P81" s="111" t="s">
        <v>128</v>
      </c>
    </row>
    <row r="82" spans="1:16">
      <c r="B82" s="1"/>
      <c r="C82" s="9"/>
      <c r="D82" s="2"/>
      <c r="E82" s="1"/>
      <c r="F82" s="17"/>
      <c r="G82" s="1"/>
      <c r="H82" s="3"/>
      <c r="I82" s="1"/>
      <c r="J82" s="4"/>
      <c r="K82" s="1"/>
      <c r="L82" s="1"/>
      <c r="M82" s="1"/>
      <c r="N82" s="1"/>
      <c r="O82" s="1"/>
      <c r="P82" s="1"/>
    </row>
    <row r="83" spans="1:16">
      <c r="B83" s="1"/>
      <c r="C83" s="9"/>
      <c r="D83" s="2"/>
      <c r="E83" s="1"/>
      <c r="F83" s="17"/>
      <c r="G83" s="1"/>
      <c r="H83" s="3"/>
      <c r="I83" s="1"/>
      <c r="J83" s="4"/>
      <c r="K83" s="1"/>
      <c r="L83" s="1"/>
      <c r="M83" s="1"/>
      <c r="N83" s="1"/>
      <c r="O83" s="1"/>
      <c r="P83" s="1"/>
    </row>
    <row r="84" spans="1:16" ht="20.25">
      <c r="A84" s="110" t="s">
        <v>190</v>
      </c>
      <c r="B84" s="1"/>
      <c r="C84" s="9"/>
      <c r="D84" s="2"/>
      <c r="E84" s="1"/>
      <c r="F84" s="14"/>
      <c r="G84" s="14"/>
      <c r="H84" s="1"/>
      <c r="I84" s="3"/>
      <c r="K84" s="7"/>
      <c r="L84" s="18"/>
      <c r="M84" s="18"/>
      <c r="P84" s="18" t="str">
        <f ca="1">P1</f>
        <v>OKT Project 23 of 23</v>
      </c>
    </row>
    <row r="85" spans="1:16" ht="18">
      <c r="B85" s="1"/>
      <c r="C85" s="1"/>
      <c r="D85" s="2"/>
      <c r="E85" s="1"/>
      <c r="F85" s="1"/>
      <c r="G85" s="1"/>
      <c r="H85" s="1"/>
      <c r="I85" s="3"/>
      <c r="J85" s="1"/>
      <c r="K85" s="4"/>
      <c r="L85" s="1"/>
      <c r="M85" s="1"/>
      <c r="P85" s="117" t="s">
        <v>132</v>
      </c>
    </row>
    <row r="86" spans="1:16" ht="18.75" thickBot="1">
      <c r="B86" s="5" t="s">
        <v>42</v>
      </c>
      <c r="C86" s="82" t="s">
        <v>81</v>
      </c>
      <c r="D86" s="2"/>
      <c r="E86" s="1"/>
      <c r="F86" s="1"/>
      <c r="G86" s="1"/>
      <c r="H86" s="1"/>
      <c r="I86" s="3"/>
      <c r="J86" s="3"/>
      <c r="K86" s="19"/>
      <c r="L86" s="3"/>
      <c r="M86" s="3"/>
      <c r="N86" s="3"/>
      <c r="O86" s="19"/>
      <c r="P86" s="1"/>
    </row>
    <row r="87" spans="1:16" ht="15.75" thickBot="1">
      <c r="C87" s="12"/>
      <c r="D87" s="2"/>
      <c r="E87" s="1"/>
      <c r="F87" s="1"/>
      <c r="G87" s="1"/>
      <c r="H87" s="1"/>
      <c r="I87" s="3"/>
      <c r="J87" s="3"/>
      <c r="K87" s="19"/>
      <c r="L87" s="118">
        <f>+J93</f>
        <v>2020</v>
      </c>
      <c r="M87" s="119" t="s">
        <v>9</v>
      </c>
      <c r="N87" s="120" t="s">
        <v>134</v>
      </c>
      <c r="O87" s="121" t="s">
        <v>11</v>
      </c>
      <c r="P87" s="1"/>
    </row>
    <row r="88" spans="1:16" ht="1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7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Grady Cap Bank 138 kV</v>
      </c>
      <c r="E90" s="1"/>
      <c r="F90" s="1"/>
      <c r="G90" s="1"/>
      <c r="H90" s="1"/>
      <c r="I90" s="3"/>
      <c r="J90" s="3"/>
      <c r="K90" s="126"/>
      <c r="L90" s="127" t="s">
        <v>135</v>
      </c>
      <c r="M90" s="88">
        <f>+M89-M88</f>
        <v>0</v>
      </c>
      <c r="N90" s="88">
        <f>+N89-N88</f>
        <v>0</v>
      </c>
      <c r="O90" s="89">
        <f>+O89-O88</f>
        <v>0</v>
      </c>
      <c r="P90" s="1"/>
    </row>
    <row r="91" spans="1:16" ht="13.5" thickBot="1">
      <c r="C91" s="79"/>
      <c r="D91" s="81" t="str">
        <f>IF(D8="","",D8)</f>
        <v/>
      </c>
      <c r="E91" s="17"/>
      <c r="F91" s="17"/>
      <c r="G91" s="17"/>
      <c r="H91" s="36"/>
      <c r="I91" s="3"/>
      <c r="J91" s="3"/>
      <c r="K91" s="19"/>
      <c r="L91" s="3"/>
      <c r="M91" s="3"/>
      <c r="N91" s="3"/>
      <c r="O91" s="19"/>
      <c r="P91" s="1"/>
    </row>
    <row r="92" spans="1:16" ht="13.5" thickBot="1">
      <c r="A92" s="16"/>
      <c r="C92" s="90" t="s">
        <v>83</v>
      </c>
      <c r="D92" s="105" t="str">
        <f>+D9</f>
        <v>TP2020234</v>
      </c>
      <c r="E92" s="91"/>
      <c r="F92" s="91"/>
      <c r="G92" s="91"/>
      <c r="H92" s="91"/>
      <c r="I92" s="91"/>
      <c r="J92" s="91"/>
      <c r="K92" s="92"/>
      <c r="P92" s="41"/>
    </row>
    <row r="93" spans="1:16">
      <c r="C93" s="46" t="s">
        <v>49</v>
      </c>
      <c r="D93" s="654">
        <v>0</v>
      </c>
      <c r="E93" s="9" t="s">
        <v>84</v>
      </c>
      <c r="H93" s="44"/>
      <c r="I93" s="44"/>
      <c r="J93" s="45">
        <f>+'OKT.WS.G.BPU.ATRR.True-up'!M16</f>
        <v>2020</v>
      </c>
      <c r="K93" s="40"/>
      <c r="L93" s="19" t="s">
        <v>85</v>
      </c>
      <c r="P93" s="4"/>
    </row>
    <row r="94" spans="1:16">
      <c r="C94" s="46" t="s">
        <v>52</v>
      </c>
      <c r="D94" s="102">
        <f>IF(D11="","",D11)</f>
        <v>2022</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c r="C95" s="46" t="s">
        <v>54</v>
      </c>
      <c r="D95" s="102">
        <f>IF(D12="","",D12)</f>
        <v>12</v>
      </c>
      <c r="E95" s="46" t="s">
        <v>55</v>
      </c>
      <c r="F95" s="44"/>
      <c r="G95" s="44"/>
      <c r="J95" s="50">
        <f>'OKT.WS.G.BPU.ATRR.True-up'!$F$81</f>
        <v>0.11475877389767174</v>
      </c>
      <c r="K95" s="51"/>
      <c r="L95" t="s">
        <v>86</v>
      </c>
      <c r="P95" s="4"/>
    </row>
    <row r="96" spans="1:16">
      <c r="C96" s="46" t="s">
        <v>57</v>
      </c>
      <c r="D96" s="48">
        <f>'OKT.WS.G.BPU.ATRR.True-up'!F$93</f>
        <v>21</v>
      </c>
      <c r="E96" s="46" t="s">
        <v>58</v>
      </c>
      <c r="F96" s="44"/>
      <c r="G96" s="44"/>
      <c r="J96" s="50">
        <f>IF(H88="",J95,'OKT.WS.G.BPU.ATRR.True-up'!$F$80)</f>
        <v>0.11475877389767174</v>
      </c>
      <c r="K96" s="10"/>
      <c r="L96" s="19" t="s">
        <v>59</v>
      </c>
      <c r="M96" s="10"/>
      <c r="N96" s="10"/>
      <c r="O96" s="10"/>
      <c r="P96" s="4"/>
    </row>
    <row r="97" spans="1:16" ht="13.5" thickBot="1">
      <c r="C97" s="46" t="s">
        <v>60</v>
      </c>
      <c r="D97" s="103" t="str">
        <f>+D14</f>
        <v>No</v>
      </c>
      <c r="E97" s="87" t="s">
        <v>62</v>
      </c>
      <c r="F97" s="93"/>
      <c r="G97" s="93"/>
      <c r="H97" s="94"/>
      <c r="I97" s="94"/>
      <c r="J97" s="34">
        <f>IF(D93=0,0,D93/D96)</f>
        <v>0</v>
      </c>
      <c r="K97" s="19"/>
      <c r="L97" s="19"/>
      <c r="M97" s="19"/>
      <c r="N97" s="19"/>
      <c r="O97" s="19"/>
      <c r="P97" s="4"/>
    </row>
    <row r="98" spans="1:16" ht="38.25">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c r="B100" t="str">
        <f t="shared" ref="B100:B155" si="10">IF(D100=F99,"","IU")</f>
        <v>IU</v>
      </c>
      <c r="C100" s="62">
        <f>IF(D94= "","-",D94)</f>
        <v>2022</v>
      </c>
      <c r="D100" s="63">
        <f>IF(D94=C100,0,IF(D93&lt;100000,0,D93))</f>
        <v>0</v>
      </c>
      <c r="E100" s="70">
        <f>IF(D93&lt;100000,0,J$97/12*(12-D95))</f>
        <v>0</v>
      </c>
      <c r="F100" s="68">
        <f>IF(D94=C100,+D93-E100,+D100-E100)</f>
        <v>0</v>
      </c>
      <c r="G100" s="98">
        <f>+(F100+D100)/2</f>
        <v>0</v>
      </c>
      <c r="H100" s="98">
        <f t="shared" ref="H100:H107" si="11">+J$95*G100+E100</f>
        <v>0</v>
      </c>
      <c r="I100" s="98">
        <f>+J$96*G100+E100</f>
        <v>0</v>
      </c>
      <c r="J100" s="67">
        <f t="shared" ref="J100:J131" si="12">+I100-H100</f>
        <v>0</v>
      </c>
      <c r="K100" s="67"/>
      <c r="L100" s="506">
        <f>+H100</f>
        <v>0</v>
      </c>
      <c r="M100" s="653">
        <f t="shared" ref="M100:M131" si="13">IF(L100&lt;&gt;0,+H100-L100,0)</f>
        <v>0</v>
      </c>
      <c r="N100" s="506">
        <f>+I100</f>
        <v>0</v>
      </c>
      <c r="O100" s="66">
        <f t="shared" ref="O100:O131" si="14">IF(N100&lt;&gt;0,+I100-N100,0)</f>
        <v>0</v>
      </c>
      <c r="P100" s="66">
        <f t="shared" ref="P100:P131" si="15">+O100-M100</f>
        <v>0</v>
      </c>
    </row>
    <row r="101" spans="1:16">
      <c r="B101" t="str">
        <f t="shared" si="10"/>
        <v/>
      </c>
      <c r="C101" s="62">
        <f>IF(D94="","-",+C100+1)</f>
        <v>2023</v>
      </c>
      <c r="D101" s="648">
        <f>IF(F100+SUM(E$100:E100)=D$93,F100,D$93-SUM(E$100:E100))</f>
        <v>0</v>
      </c>
      <c r="E101" s="509">
        <f t="shared" ref="E101:E155" si="16">IF(+J$97&lt;F100,J$97,D101)</f>
        <v>0</v>
      </c>
      <c r="F101" s="649">
        <f t="shared" ref="F101:F155" si="17">+D101-E101</f>
        <v>0</v>
      </c>
      <c r="G101" s="649">
        <f t="shared" ref="G101:G155" si="18">+(F101+D101)/2</f>
        <v>0</v>
      </c>
      <c r="H101" s="650">
        <f t="shared" ref="H101:H102" si="19">(D101+F101)/2*J$95+E101</f>
        <v>0</v>
      </c>
      <c r="I101" s="628">
        <f t="shared" ref="I101:I155" si="20">+J$96*G101+E101</f>
        <v>0</v>
      </c>
      <c r="J101" s="67">
        <f t="shared" si="12"/>
        <v>0</v>
      </c>
      <c r="K101" s="67"/>
      <c r="L101" s="130"/>
      <c r="M101" s="67">
        <f t="shared" si="13"/>
        <v>0</v>
      </c>
      <c r="N101" s="130"/>
      <c r="O101" s="67">
        <f t="shared" si="14"/>
        <v>0</v>
      </c>
      <c r="P101" s="67">
        <f t="shared" si="15"/>
        <v>0</v>
      </c>
    </row>
    <row r="102" spans="1:16">
      <c r="B102" t="str">
        <f t="shared" si="10"/>
        <v/>
      </c>
      <c r="C102" s="62">
        <f>IF(D94="","-",+C101+1)</f>
        <v>2024</v>
      </c>
      <c r="D102" s="648">
        <f>IF(F101+SUM(E$100:E101)=D$93,F101,D$93-SUM(E$100:E101))</f>
        <v>0</v>
      </c>
      <c r="E102" s="509">
        <f t="shared" si="16"/>
        <v>0</v>
      </c>
      <c r="F102" s="649">
        <f t="shared" si="17"/>
        <v>0</v>
      </c>
      <c r="G102" s="649">
        <f t="shared" si="18"/>
        <v>0</v>
      </c>
      <c r="H102" s="650">
        <f t="shared" si="19"/>
        <v>0</v>
      </c>
      <c r="I102" s="628">
        <f t="shared" si="20"/>
        <v>0</v>
      </c>
      <c r="J102" s="67">
        <f t="shared" si="12"/>
        <v>0</v>
      </c>
      <c r="K102" s="67"/>
      <c r="L102" s="130"/>
      <c r="M102" s="67">
        <f t="shared" si="13"/>
        <v>0</v>
      </c>
      <c r="N102" s="130"/>
      <c r="O102" s="67">
        <f t="shared" si="14"/>
        <v>0</v>
      </c>
      <c r="P102" s="67">
        <f t="shared" si="15"/>
        <v>0</v>
      </c>
    </row>
    <row r="103" spans="1:16">
      <c r="B103" t="str">
        <f t="shared" si="10"/>
        <v/>
      </c>
      <c r="C103" s="62">
        <f>IF(D94="","-",+C102+1)</f>
        <v>2025</v>
      </c>
      <c r="D103" s="63">
        <f>IF(F102+SUM(E$100:E102)=D$93,F102,D$93-SUM(E$100:E102))</f>
        <v>0</v>
      </c>
      <c r="E103" s="69">
        <f t="shared" si="16"/>
        <v>0</v>
      </c>
      <c r="F103" s="68">
        <f t="shared" si="17"/>
        <v>0</v>
      </c>
      <c r="G103" s="68">
        <f t="shared" si="18"/>
        <v>0</v>
      </c>
      <c r="H103" s="128">
        <f t="shared" si="11"/>
        <v>0</v>
      </c>
      <c r="I103" s="137">
        <f t="shared" si="20"/>
        <v>0</v>
      </c>
      <c r="J103" s="67">
        <f t="shared" si="12"/>
        <v>0</v>
      </c>
      <c r="K103" s="67"/>
      <c r="L103" s="130"/>
      <c r="M103" s="67">
        <f t="shared" si="13"/>
        <v>0</v>
      </c>
      <c r="N103" s="130"/>
      <c r="O103" s="67">
        <f t="shared" si="14"/>
        <v>0</v>
      </c>
      <c r="P103" s="67">
        <f t="shared" si="15"/>
        <v>0</v>
      </c>
    </row>
    <row r="104" spans="1:16">
      <c r="B104" t="str">
        <f t="shared" si="10"/>
        <v/>
      </c>
      <c r="C104" s="62">
        <f>IF(D94="","-",+C103+1)</f>
        <v>2026</v>
      </c>
      <c r="D104" s="63">
        <f>IF(F103+SUM(E$100:E103)=D$93,F103,D$93-SUM(E$100:E103))</f>
        <v>0</v>
      </c>
      <c r="E104" s="69">
        <f t="shared" si="16"/>
        <v>0</v>
      </c>
      <c r="F104" s="68">
        <f t="shared" si="17"/>
        <v>0</v>
      </c>
      <c r="G104" s="68">
        <f t="shared" si="18"/>
        <v>0</v>
      </c>
      <c r="H104" s="128">
        <f t="shared" si="11"/>
        <v>0</v>
      </c>
      <c r="I104" s="137">
        <f t="shared" si="20"/>
        <v>0</v>
      </c>
      <c r="J104" s="67">
        <f t="shared" si="12"/>
        <v>0</v>
      </c>
      <c r="K104" s="67"/>
      <c r="L104" s="130"/>
      <c r="M104" s="67">
        <f t="shared" si="13"/>
        <v>0</v>
      </c>
      <c r="N104" s="130"/>
      <c r="O104" s="67">
        <f t="shared" si="14"/>
        <v>0</v>
      </c>
      <c r="P104" s="67">
        <f t="shared" si="15"/>
        <v>0</v>
      </c>
    </row>
    <row r="105" spans="1:16">
      <c r="B105" t="str">
        <f t="shared" si="10"/>
        <v/>
      </c>
      <c r="C105" s="62">
        <f>IF(D94="","-",+C104+1)</f>
        <v>2027</v>
      </c>
      <c r="D105" s="63">
        <f>IF(F104+SUM(E$100:E104)=D$93,F104,D$93-SUM(E$100:E104))</f>
        <v>0</v>
      </c>
      <c r="E105" s="69">
        <f t="shared" si="16"/>
        <v>0</v>
      </c>
      <c r="F105" s="68">
        <f t="shared" si="17"/>
        <v>0</v>
      </c>
      <c r="G105" s="68">
        <f t="shared" si="18"/>
        <v>0</v>
      </c>
      <c r="H105" s="128">
        <f t="shared" si="11"/>
        <v>0</v>
      </c>
      <c r="I105" s="137">
        <f t="shared" si="20"/>
        <v>0</v>
      </c>
      <c r="J105" s="67">
        <f t="shared" si="12"/>
        <v>0</v>
      </c>
      <c r="K105" s="67"/>
      <c r="L105" s="130"/>
      <c r="M105" s="67">
        <f t="shared" si="13"/>
        <v>0</v>
      </c>
      <c r="N105" s="130"/>
      <c r="O105" s="67">
        <f t="shared" si="14"/>
        <v>0</v>
      </c>
      <c r="P105" s="67">
        <f t="shared" si="15"/>
        <v>0</v>
      </c>
    </row>
    <row r="106" spans="1:16">
      <c r="B106" t="str">
        <f t="shared" si="10"/>
        <v/>
      </c>
      <c r="C106" s="62">
        <f>IF(D94="","-",+C105+1)</f>
        <v>2028</v>
      </c>
      <c r="D106" s="63">
        <f>IF(F105+SUM(E$100:E105)=D$93,F105,D$93-SUM(E$100:E105))</f>
        <v>0</v>
      </c>
      <c r="E106" s="69">
        <f t="shared" si="16"/>
        <v>0</v>
      </c>
      <c r="F106" s="68">
        <f t="shared" si="17"/>
        <v>0</v>
      </c>
      <c r="G106" s="68">
        <f t="shared" si="18"/>
        <v>0</v>
      </c>
      <c r="H106" s="128">
        <f t="shared" si="11"/>
        <v>0</v>
      </c>
      <c r="I106" s="137">
        <f t="shared" si="20"/>
        <v>0</v>
      </c>
      <c r="J106" s="67">
        <f t="shared" si="12"/>
        <v>0</v>
      </c>
      <c r="K106" s="67"/>
      <c r="L106" s="130"/>
      <c r="M106" s="67">
        <f t="shared" si="13"/>
        <v>0</v>
      </c>
      <c r="N106" s="130"/>
      <c r="O106" s="67">
        <f t="shared" si="14"/>
        <v>0</v>
      </c>
      <c r="P106" s="67">
        <f t="shared" si="15"/>
        <v>0</v>
      </c>
    </row>
    <row r="107" spans="1:16">
      <c r="B107" t="str">
        <f t="shared" si="10"/>
        <v/>
      </c>
      <c r="C107" s="62">
        <f>IF(D94="","-",+C106+1)</f>
        <v>2029</v>
      </c>
      <c r="D107" s="63">
        <f>IF(F106+SUM(E$100:E106)=D$93,F106,D$93-SUM(E$100:E106))</f>
        <v>0</v>
      </c>
      <c r="E107" s="69">
        <f t="shared" si="16"/>
        <v>0</v>
      </c>
      <c r="F107" s="68">
        <f t="shared" si="17"/>
        <v>0</v>
      </c>
      <c r="G107" s="68">
        <f t="shared" si="18"/>
        <v>0</v>
      </c>
      <c r="H107" s="128">
        <f t="shared" si="11"/>
        <v>0</v>
      </c>
      <c r="I107" s="137">
        <f t="shared" si="20"/>
        <v>0</v>
      </c>
      <c r="J107" s="67">
        <f t="shared" si="12"/>
        <v>0</v>
      </c>
      <c r="K107" s="67"/>
      <c r="L107" s="130"/>
      <c r="M107" s="67">
        <f t="shared" si="13"/>
        <v>0</v>
      </c>
      <c r="N107" s="130"/>
      <c r="O107" s="67">
        <f t="shared" si="14"/>
        <v>0</v>
      </c>
      <c r="P107" s="67">
        <f t="shared" si="15"/>
        <v>0</v>
      </c>
    </row>
    <row r="108" spans="1:16">
      <c r="B108" t="str">
        <f t="shared" si="10"/>
        <v/>
      </c>
      <c r="C108" s="62">
        <f>IF(D94="","-",+C107+1)</f>
        <v>2030</v>
      </c>
      <c r="D108" s="648">
        <f>IF(F107+SUM(E$100:E107)=D$93,F107,D$93-SUM(E$100:E107))</f>
        <v>0</v>
      </c>
      <c r="E108" s="509">
        <f t="shared" si="16"/>
        <v>0</v>
      </c>
      <c r="F108" s="649">
        <f t="shared" si="17"/>
        <v>0</v>
      </c>
      <c r="G108" s="649">
        <f t="shared" si="18"/>
        <v>0</v>
      </c>
      <c r="H108" s="650">
        <f t="shared" ref="H108:H155" si="21">(D108+F108)/2*J$95+E108</f>
        <v>0</v>
      </c>
      <c r="I108" s="628">
        <f t="shared" si="20"/>
        <v>0</v>
      </c>
      <c r="J108" s="67">
        <f t="shared" si="12"/>
        <v>0</v>
      </c>
      <c r="K108" s="67"/>
      <c r="L108" s="130"/>
      <c r="M108" s="67">
        <f t="shared" si="13"/>
        <v>0</v>
      </c>
      <c r="N108" s="130"/>
      <c r="O108" s="67">
        <f t="shared" si="14"/>
        <v>0</v>
      </c>
      <c r="P108" s="67">
        <f t="shared" si="15"/>
        <v>0</v>
      </c>
    </row>
    <row r="109" spans="1:16">
      <c r="B109" t="str">
        <f t="shared" si="10"/>
        <v/>
      </c>
      <c r="C109" s="62">
        <f>IF(D94="","-",+C108+1)</f>
        <v>2031</v>
      </c>
      <c r="D109" s="648">
        <f>IF(F108+SUM(E$100:E108)=D$93,F108,D$93-SUM(E$100:E108))</f>
        <v>0</v>
      </c>
      <c r="E109" s="509">
        <f t="shared" si="16"/>
        <v>0</v>
      </c>
      <c r="F109" s="649">
        <f t="shared" si="17"/>
        <v>0</v>
      </c>
      <c r="G109" s="649">
        <f t="shared" si="18"/>
        <v>0</v>
      </c>
      <c r="H109" s="650">
        <f t="shared" si="21"/>
        <v>0</v>
      </c>
      <c r="I109" s="628">
        <f t="shared" si="20"/>
        <v>0</v>
      </c>
      <c r="J109" s="67">
        <f t="shared" si="12"/>
        <v>0</v>
      </c>
      <c r="K109" s="67"/>
      <c r="L109" s="130"/>
      <c r="M109" s="67">
        <f t="shared" si="13"/>
        <v>0</v>
      </c>
      <c r="N109" s="130"/>
      <c r="O109" s="67">
        <f t="shared" si="14"/>
        <v>0</v>
      </c>
      <c r="P109" s="67">
        <f t="shared" si="15"/>
        <v>0</v>
      </c>
    </row>
    <row r="110" spans="1:16">
      <c r="B110" t="str">
        <f t="shared" si="10"/>
        <v/>
      </c>
      <c r="C110" s="62">
        <f>IF(D94="","-",+C109+1)</f>
        <v>2032</v>
      </c>
      <c r="D110" s="648">
        <f>IF(F109+SUM(E$100:E109)=D$93,F109,D$93-SUM(E$100:E109))</f>
        <v>0</v>
      </c>
      <c r="E110" s="509">
        <f t="shared" si="16"/>
        <v>0</v>
      </c>
      <c r="F110" s="649">
        <f t="shared" si="17"/>
        <v>0</v>
      </c>
      <c r="G110" s="649">
        <f t="shared" si="18"/>
        <v>0</v>
      </c>
      <c r="H110" s="650">
        <f t="shared" si="21"/>
        <v>0</v>
      </c>
      <c r="I110" s="628">
        <f t="shared" si="20"/>
        <v>0</v>
      </c>
      <c r="J110" s="67">
        <f t="shared" si="12"/>
        <v>0</v>
      </c>
      <c r="K110" s="67"/>
      <c r="L110" s="130"/>
      <c r="M110" s="67">
        <f t="shared" si="13"/>
        <v>0</v>
      </c>
      <c r="N110" s="130"/>
      <c r="O110" s="67">
        <f t="shared" si="14"/>
        <v>0</v>
      </c>
      <c r="P110" s="67">
        <f t="shared" si="15"/>
        <v>0</v>
      </c>
    </row>
    <row r="111" spans="1:16">
      <c r="B111" t="str">
        <f t="shared" si="10"/>
        <v/>
      </c>
      <c r="C111" s="62">
        <f>IF(D94="","-",+C110+1)</f>
        <v>2033</v>
      </c>
      <c r="D111" s="648">
        <f>IF(F110+SUM(E$100:E110)=D$93,F110,D$93-SUM(E$100:E110))</f>
        <v>0</v>
      </c>
      <c r="E111" s="509">
        <f t="shared" si="16"/>
        <v>0</v>
      </c>
      <c r="F111" s="649">
        <f t="shared" si="17"/>
        <v>0</v>
      </c>
      <c r="G111" s="649">
        <f t="shared" si="18"/>
        <v>0</v>
      </c>
      <c r="H111" s="650">
        <f t="shared" si="21"/>
        <v>0</v>
      </c>
      <c r="I111" s="628">
        <f t="shared" si="20"/>
        <v>0</v>
      </c>
      <c r="J111" s="67">
        <f t="shared" si="12"/>
        <v>0</v>
      </c>
      <c r="K111" s="67"/>
      <c r="L111" s="130"/>
      <c r="M111" s="67">
        <f t="shared" si="13"/>
        <v>0</v>
      </c>
      <c r="N111" s="130"/>
      <c r="O111" s="67">
        <f t="shared" si="14"/>
        <v>0</v>
      </c>
      <c r="P111" s="67">
        <f t="shared" si="15"/>
        <v>0</v>
      </c>
    </row>
    <row r="112" spans="1:16">
      <c r="B112" t="str">
        <f t="shared" si="10"/>
        <v/>
      </c>
      <c r="C112" s="62">
        <f>IF(D94="","-",+C111+1)</f>
        <v>2034</v>
      </c>
      <c r="D112" s="648">
        <f>IF(F111+SUM(E$100:E111)=D$93,F111,D$93-SUM(E$100:E111))</f>
        <v>0</v>
      </c>
      <c r="E112" s="509">
        <f t="shared" si="16"/>
        <v>0</v>
      </c>
      <c r="F112" s="649">
        <f t="shared" si="17"/>
        <v>0</v>
      </c>
      <c r="G112" s="649">
        <f t="shared" si="18"/>
        <v>0</v>
      </c>
      <c r="H112" s="650">
        <f t="shared" si="21"/>
        <v>0</v>
      </c>
      <c r="I112" s="628">
        <f t="shared" si="20"/>
        <v>0</v>
      </c>
      <c r="J112" s="67">
        <f t="shared" si="12"/>
        <v>0</v>
      </c>
      <c r="K112" s="67"/>
      <c r="L112" s="130"/>
      <c r="M112" s="67">
        <f t="shared" si="13"/>
        <v>0</v>
      </c>
      <c r="N112" s="130"/>
      <c r="O112" s="67">
        <f t="shared" si="14"/>
        <v>0</v>
      </c>
      <c r="P112" s="67">
        <f t="shared" si="15"/>
        <v>0</v>
      </c>
    </row>
    <row r="113" spans="2:16">
      <c r="B113" t="str">
        <f t="shared" si="10"/>
        <v/>
      </c>
      <c r="C113" s="62">
        <f>IF(D94="","-",+C112+1)</f>
        <v>2035</v>
      </c>
      <c r="D113" s="648">
        <f>IF(F112+SUM(E$100:E112)=D$93,F112,D$93-SUM(E$100:E112))</f>
        <v>0</v>
      </c>
      <c r="E113" s="509">
        <f t="shared" si="16"/>
        <v>0</v>
      </c>
      <c r="F113" s="649">
        <f t="shared" si="17"/>
        <v>0</v>
      </c>
      <c r="G113" s="649">
        <f t="shared" si="18"/>
        <v>0</v>
      </c>
      <c r="H113" s="650">
        <f t="shared" si="21"/>
        <v>0</v>
      </c>
      <c r="I113" s="628">
        <f t="shared" si="20"/>
        <v>0</v>
      </c>
      <c r="J113" s="67">
        <f t="shared" si="12"/>
        <v>0</v>
      </c>
      <c r="K113" s="67"/>
      <c r="L113" s="130"/>
      <c r="M113" s="67">
        <f t="shared" si="13"/>
        <v>0</v>
      </c>
      <c r="N113" s="130"/>
      <c r="O113" s="67">
        <f t="shared" si="14"/>
        <v>0</v>
      </c>
      <c r="P113" s="67">
        <f t="shared" si="15"/>
        <v>0</v>
      </c>
    </row>
    <row r="114" spans="2:16">
      <c r="B114" t="str">
        <f t="shared" si="10"/>
        <v/>
      </c>
      <c r="C114" s="62">
        <f>IF(D94="","-",+C113+1)</f>
        <v>2036</v>
      </c>
      <c r="D114" s="648">
        <f>IF(F113+SUM(E$100:E113)=D$93,F113,D$93-SUM(E$100:E113))</f>
        <v>0</v>
      </c>
      <c r="E114" s="509">
        <f t="shared" si="16"/>
        <v>0</v>
      </c>
      <c r="F114" s="649">
        <f t="shared" si="17"/>
        <v>0</v>
      </c>
      <c r="G114" s="649">
        <f t="shared" si="18"/>
        <v>0</v>
      </c>
      <c r="H114" s="650">
        <f t="shared" si="21"/>
        <v>0</v>
      </c>
      <c r="I114" s="628">
        <f t="shared" si="20"/>
        <v>0</v>
      </c>
      <c r="J114" s="67">
        <f t="shared" si="12"/>
        <v>0</v>
      </c>
      <c r="K114" s="67"/>
      <c r="L114" s="130"/>
      <c r="M114" s="67">
        <f t="shared" si="13"/>
        <v>0</v>
      </c>
      <c r="N114" s="130"/>
      <c r="O114" s="67">
        <f t="shared" si="14"/>
        <v>0</v>
      </c>
      <c r="P114" s="67">
        <f t="shared" si="15"/>
        <v>0</v>
      </c>
    </row>
    <row r="115" spans="2:16">
      <c r="B115" t="str">
        <f t="shared" si="10"/>
        <v/>
      </c>
      <c r="C115" s="62">
        <f>IF(D94="","-",+C114+1)</f>
        <v>2037</v>
      </c>
      <c r="D115" s="648">
        <f>IF(F114+SUM(E$100:E114)=D$93,F114,D$93-SUM(E$100:E114))</f>
        <v>0</v>
      </c>
      <c r="E115" s="509">
        <f t="shared" si="16"/>
        <v>0</v>
      </c>
      <c r="F115" s="649">
        <f t="shared" si="17"/>
        <v>0</v>
      </c>
      <c r="G115" s="649">
        <f t="shared" si="18"/>
        <v>0</v>
      </c>
      <c r="H115" s="650">
        <f t="shared" si="21"/>
        <v>0</v>
      </c>
      <c r="I115" s="628">
        <f t="shared" si="20"/>
        <v>0</v>
      </c>
      <c r="J115" s="67">
        <f t="shared" si="12"/>
        <v>0</v>
      </c>
      <c r="K115" s="67"/>
      <c r="L115" s="130"/>
      <c r="M115" s="67">
        <f t="shared" si="13"/>
        <v>0</v>
      </c>
      <c r="N115" s="130"/>
      <c r="O115" s="67">
        <f t="shared" si="14"/>
        <v>0</v>
      </c>
      <c r="P115" s="67">
        <f t="shared" si="15"/>
        <v>0</v>
      </c>
    </row>
    <row r="116" spans="2:16">
      <c r="B116" t="str">
        <f t="shared" si="10"/>
        <v/>
      </c>
      <c r="C116" s="62">
        <f>IF(D94="","-",+C115+1)</f>
        <v>2038</v>
      </c>
      <c r="D116" s="648">
        <f>IF(F115+SUM(E$100:E115)=D$93,F115,D$93-SUM(E$100:E115))</f>
        <v>0</v>
      </c>
      <c r="E116" s="509">
        <f t="shared" si="16"/>
        <v>0</v>
      </c>
      <c r="F116" s="649">
        <f t="shared" si="17"/>
        <v>0</v>
      </c>
      <c r="G116" s="649">
        <f t="shared" si="18"/>
        <v>0</v>
      </c>
      <c r="H116" s="650">
        <f t="shared" si="21"/>
        <v>0</v>
      </c>
      <c r="I116" s="628">
        <f t="shared" si="20"/>
        <v>0</v>
      </c>
      <c r="J116" s="67">
        <f t="shared" si="12"/>
        <v>0</v>
      </c>
      <c r="K116" s="67"/>
      <c r="L116" s="130"/>
      <c r="M116" s="67">
        <f t="shared" si="13"/>
        <v>0</v>
      </c>
      <c r="N116" s="130"/>
      <c r="O116" s="67">
        <f t="shared" si="14"/>
        <v>0</v>
      </c>
      <c r="P116" s="67">
        <f t="shared" si="15"/>
        <v>0</v>
      </c>
    </row>
    <row r="117" spans="2:16">
      <c r="B117" t="str">
        <f t="shared" si="10"/>
        <v/>
      </c>
      <c r="C117" s="62">
        <f>IF(D94="","-",+C116+1)</f>
        <v>2039</v>
      </c>
      <c r="D117" s="648">
        <f>IF(F116+SUM(E$100:E116)=D$93,F116,D$93-SUM(E$100:E116))</f>
        <v>0</v>
      </c>
      <c r="E117" s="509">
        <f t="shared" si="16"/>
        <v>0</v>
      </c>
      <c r="F117" s="649">
        <f t="shared" si="17"/>
        <v>0</v>
      </c>
      <c r="G117" s="649">
        <f t="shared" si="18"/>
        <v>0</v>
      </c>
      <c r="H117" s="650">
        <f t="shared" si="21"/>
        <v>0</v>
      </c>
      <c r="I117" s="628">
        <f t="shared" si="20"/>
        <v>0</v>
      </c>
      <c r="J117" s="67">
        <f t="shared" si="12"/>
        <v>0</v>
      </c>
      <c r="K117" s="67"/>
      <c r="L117" s="130"/>
      <c r="M117" s="67">
        <f t="shared" si="13"/>
        <v>0</v>
      </c>
      <c r="N117" s="130"/>
      <c r="O117" s="67">
        <f t="shared" si="14"/>
        <v>0</v>
      </c>
      <c r="P117" s="67">
        <f t="shared" si="15"/>
        <v>0</v>
      </c>
    </row>
    <row r="118" spans="2:16">
      <c r="B118" t="str">
        <f t="shared" si="10"/>
        <v/>
      </c>
      <c r="C118" s="62">
        <f>IF(D94="","-",+C117+1)</f>
        <v>2040</v>
      </c>
      <c r="D118" s="648">
        <f>IF(F117+SUM(E$100:E117)=D$93,F117,D$93-SUM(E$100:E117))</f>
        <v>0</v>
      </c>
      <c r="E118" s="509">
        <f t="shared" si="16"/>
        <v>0</v>
      </c>
      <c r="F118" s="649">
        <f t="shared" si="17"/>
        <v>0</v>
      </c>
      <c r="G118" s="649">
        <f t="shared" si="18"/>
        <v>0</v>
      </c>
      <c r="H118" s="650">
        <f t="shared" si="21"/>
        <v>0</v>
      </c>
      <c r="I118" s="628">
        <f t="shared" si="20"/>
        <v>0</v>
      </c>
      <c r="J118" s="67">
        <f t="shared" si="12"/>
        <v>0</v>
      </c>
      <c r="K118" s="67"/>
      <c r="L118" s="130"/>
      <c r="M118" s="67">
        <f t="shared" si="13"/>
        <v>0</v>
      </c>
      <c r="N118" s="130"/>
      <c r="O118" s="67">
        <f t="shared" si="14"/>
        <v>0</v>
      </c>
      <c r="P118" s="67">
        <f t="shared" si="15"/>
        <v>0</v>
      </c>
    </row>
    <row r="119" spans="2:16">
      <c r="B119" t="str">
        <f t="shared" si="10"/>
        <v/>
      </c>
      <c r="C119" s="62">
        <f>IF(D94="","-",+C118+1)</f>
        <v>2041</v>
      </c>
      <c r="D119" s="648">
        <f>IF(F118+SUM(E$100:E118)=D$93,F118,D$93-SUM(E$100:E118))</f>
        <v>0</v>
      </c>
      <c r="E119" s="509">
        <f t="shared" si="16"/>
        <v>0</v>
      </c>
      <c r="F119" s="649">
        <f t="shared" si="17"/>
        <v>0</v>
      </c>
      <c r="G119" s="649">
        <f t="shared" si="18"/>
        <v>0</v>
      </c>
      <c r="H119" s="650">
        <f t="shared" si="21"/>
        <v>0</v>
      </c>
      <c r="I119" s="628">
        <f t="shared" si="20"/>
        <v>0</v>
      </c>
      <c r="J119" s="67">
        <f t="shared" si="12"/>
        <v>0</v>
      </c>
      <c r="K119" s="67"/>
      <c r="L119" s="130"/>
      <c r="M119" s="67">
        <f t="shared" si="13"/>
        <v>0</v>
      </c>
      <c r="N119" s="130"/>
      <c r="O119" s="67">
        <f t="shared" si="14"/>
        <v>0</v>
      </c>
      <c r="P119" s="67">
        <f t="shared" si="15"/>
        <v>0</v>
      </c>
    </row>
    <row r="120" spans="2:16">
      <c r="B120" t="str">
        <f t="shared" si="10"/>
        <v/>
      </c>
      <c r="C120" s="62">
        <f>IF(D94="","-",+C119+1)</f>
        <v>2042</v>
      </c>
      <c r="D120" s="648">
        <f>IF(F119+SUM(E$100:E119)=D$93,F119,D$93-SUM(E$100:E119))</f>
        <v>0</v>
      </c>
      <c r="E120" s="509">
        <f t="shared" si="16"/>
        <v>0</v>
      </c>
      <c r="F120" s="649">
        <f t="shared" si="17"/>
        <v>0</v>
      </c>
      <c r="G120" s="649">
        <f t="shared" si="18"/>
        <v>0</v>
      </c>
      <c r="H120" s="650">
        <f t="shared" si="21"/>
        <v>0</v>
      </c>
      <c r="I120" s="628">
        <f t="shared" si="20"/>
        <v>0</v>
      </c>
      <c r="J120" s="67">
        <f t="shared" si="12"/>
        <v>0</v>
      </c>
      <c r="K120" s="67"/>
      <c r="L120" s="130"/>
      <c r="M120" s="67">
        <f t="shared" si="13"/>
        <v>0</v>
      </c>
      <c r="N120" s="130"/>
      <c r="O120" s="67">
        <f t="shared" si="14"/>
        <v>0</v>
      </c>
      <c r="P120" s="67">
        <f t="shared" si="15"/>
        <v>0</v>
      </c>
    </row>
    <row r="121" spans="2:16">
      <c r="B121" t="str">
        <f t="shared" si="10"/>
        <v/>
      </c>
      <c r="C121" s="62">
        <f>IF(D94="","-",+C120+1)</f>
        <v>2043</v>
      </c>
      <c r="D121" s="648">
        <f>IF(F120+SUM(E$100:E120)=D$93,F120,D$93-SUM(E$100:E120))</f>
        <v>0</v>
      </c>
      <c r="E121" s="509">
        <f t="shared" si="16"/>
        <v>0</v>
      </c>
      <c r="F121" s="649">
        <f t="shared" si="17"/>
        <v>0</v>
      </c>
      <c r="G121" s="649">
        <f t="shared" si="18"/>
        <v>0</v>
      </c>
      <c r="H121" s="650">
        <f t="shared" si="21"/>
        <v>0</v>
      </c>
      <c r="I121" s="628">
        <f t="shared" si="20"/>
        <v>0</v>
      </c>
      <c r="J121" s="67">
        <f t="shared" si="12"/>
        <v>0</v>
      </c>
      <c r="K121" s="67"/>
      <c r="L121" s="130"/>
      <c r="M121" s="67">
        <f t="shared" si="13"/>
        <v>0</v>
      </c>
      <c r="N121" s="130"/>
      <c r="O121" s="67">
        <f t="shared" si="14"/>
        <v>0</v>
      </c>
      <c r="P121" s="67">
        <f t="shared" si="15"/>
        <v>0</v>
      </c>
    </row>
    <row r="122" spans="2:16">
      <c r="B122" t="str">
        <f t="shared" si="10"/>
        <v/>
      </c>
      <c r="C122" s="62">
        <f>IF(D94="","-",+C121+1)</f>
        <v>2044</v>
      </c>
      <c r="D122" s="648">
        <f>IF(F121+SUM(E$100:E121)=D$93,F121,D$93-SUM(E$100:E121))</f>
        <v>0</v>
      </c>
      <c r="E122" s="509">
        <f t="shared" si="16"/>
        <v>0</v>
      </c>
      <c r="F122" s="649">
        <f t="shared" si="17"/>
        <v>0</v>
      </c>
      <c r="G122" s="649">
        <f t="shared" si="18"/>
        <v>0</v>
      </c>
      <c r="H122" s="650">
        <f t="shared" si="21"/>
        <v>0</v>
      </c>
      <c r="I122" s="628">
        <f t="shared" si="20"/>
        <v>0</v>
      </c>
      <c r="J122" s="67">
        <f t="shared" si="12"/>
        <v>0</v>
      </c>
      <c r="K122" s="67"/>
      <c r="L122" s="130"/>
      <c r="M122" s="67">
        <f t="shared" si="13"/>
        <v>0</v>
      </c>
      <c r="N122" s="130"/>
      <c r="O122" s="67">
        <f t="shared" si="14"/>
        <v>0</v>
      </c>
      <c r="P122" s="67">
        <f t="shared" si="15"/>
        <v>0</v>
      </c>
    </row>
    <row r="123" spans="2:16">
      <c r="B123" t="str">
        <f t="shared" si="10"/>
        <v/>
      </c>
      <c r="C123" s="62">
        <f>IF(D94="","-",+C122+1)</f>
        <v>2045</v>
      </c>
      <c r="D123" s="648">
        <f>IF(F122+SUM(E$100:E122)=D$93,F122,D$93-SUM(E$100:E122))</f>
        <v>0</v>
      </c>
      <c r="E123" s="509">
        <f t="shared" si="16"/>
        <v>0</v>
      </c>
      <c r="F123" s="649">
        <f t="shared" si="17"/>
        <v>0</v>
      </c>
      <c r="G123" s="649">
        <f t="shared" si="18"/>
        <v>0</v>
      </c>
      <c r="H123" s="650">
        <f t="shared" si="21"/>
        <v>0</v>
      </c>
      <c r="I123" s="628">
        <f t="shared" si="20"/>
        <v>0</v>
      </c>
      <c r="J123" s="67">
        <f t="shared" si="12"/>
        <v>0</v>
      </c>
      <c r="K123" s="67"/>
      <c r="L123" s="130"/>
      <c r="M123" s="67">
        <f t="shared" si="13"/>
        <v>0</v>
      </c>
      <c r="N123" s="130"/>
      <c r="O123" s="67">
        <f t="shared" si="14"/>
        <v>0</v>
      </c>
      <c r="P123" s="67">
        <f t="shared" si="15"/>
        <v>0</v>
      </c>
    </row>
    <row r="124" spans="2:16">
      <c r="B124" t="str">
        <f t="shared" si="10"/>
        <v/>
      </c>
      <c r="C124" s="62">
        <f>IF(D94="","-",+C123+1)</f>
        <v>2046</v>
      </c>
      <c r="D124" s="648">
        <f>IF(F123+SUM(E$100:E123)=D$93,F123,D$93-SUM(E$100:E123))</f>
        <v>0</v>
      </c>
      <c r="E124" s="509">
        <f t="shared" si="16"/>
        <v>0</v>
      </c>
      <c r="F124" s="649">
        <f t="shared" si="17"/>
        <v>0</v>
      </c>
      <c r="G124" s="649">
        <f t="shared" si="18"/>
        <v>0</v>
      </c>
      <c r="H124" s="650">
        <f t="shared" si="21"/>
        <v>0</v>
      </c>
      <c r="I124" s="628">
        <f t="shared" si="20"/>
        <v>0</v>
      </c>
      <c r="J124" s="67">
        <f t="shared" si="12"/>
        <v>0</v>
      </c>
      <c r="K124" s="67"/>
      <c r="L124" s="130"/>
      <c r="M124" s="67">
        <f t="shared" si="13"/>
        <v>0</v>
      </c>
      <c r="N124" s="130"/>
      <c r="O124" s="67">
        <f t="shared" si="14"/>
        <v>0</v>
      </c>
      <c r="P124" s="67">
        <f t="shared" si="15"/>
        <v>0</v>
      </c>
    </row>
    <row r="125" spans="2:16">
      <c r="B125" t="str">
        <f t="shared" si="10"/>
        <v/>
      </c>
      <c r="C125" s="62">
        <f>IF(D94="","-",+C124+1)</f>
        <v>2047</v>
      </c>
      <c r="D125" s="648">
        <f>IF(F124+SUM(E$100:E124)=D$93,F124,D$93-SUM(E$100:E124))</f>
        <v>0</v>
      </c>
      <c r="E125" s="509">
        <f t="shared" si="16"/>
        <v>0</v>
      </c>
      <c r="F125" s="649">
        <f t="shared" si="17"/>
        <v>0</v>
      </c>
      <c r="G125" s="649">
        <f t="shared" si="18"/>
        <v>0</v>
      </c>
      <c r="H125" s="650">
        <f t="shared" si="21"/>
        <v>0</v>
      </c>
      <c r="I125" s="628">
        <f t="shared" si="20"/>
        <v>0</v>
      </c>
      <c r="J125" s="67">
        <f t="shared" si="12"/>
        <v>0</v>
      </c>
      <c r="K125" s="67"/>
      <c r="L125" s="130"/>
      <c r="M125" s="67">
        <f t="shared" si="13"/>
        <v>0</v>
      </c>
      <c r="N125" s="130"/>
      <c r="O125" s="67">
        <f t="shared" si="14"/>
        <v>0</v>
      </c>
      <c r="P125" s="67">
        <f t="shared" si="15"/>
        <v>0</v>
      </c>
    </row>
    <row r="126" spans="2:16">
      <c r="B126" t="str">
        <f t="shared" si="10"/>
        <v/>
      </c>
      <c r="C126" s="62">
        <f>IF(D94="","-",+C125+1)</f>
        <v>2048</v>
      </c>
      <c r="D126" s="648">
        <f>IF(F125+SUM(E$100:E125)=D$93,F125,D$93-SUM(E$100:E125))</f>
        <v>0</v>
      </c>
      <c r="E126" s="509">
        <f t="shared" si="16"/>
        <v>0</v>
      </c>
      <c r="F126" s="649">
        <f t="shared" si="17"/>
        <v>0</v>
      </c>
      <c r="G126" s="649">
        <f t="shared" si="18"/>
        <v>0</v>
      </c>
      <c r="H126" s="650">
        <f t="shared" si="21"/>
        <v>0</v>
      </c>
      <c r="I126" s="628">
        <f t="shared" si="20"/>
        <v>0</v>
      </c>
      <c r="J126" s="67">
        <f t="shared" si="12"/>
        <v>0</v>
      </c>
      <c r="K126" s="67"/>
      <c r="L126" s="130"/>
      <c r="M126" s="67">
        <f t="shared" si="13"/>
        <v>0</v>
      </c>
      <c r="N126" s="130"/>
      <c r="O126" s="67">
        <f t="shared" si="14"/>
        <v>0</v>
      </c>
      <c r="P126" s="67">
        <f t="shared" si="15"/>
        <v>0</v>
      </c>
    </row>
    <row r="127" spans="2:16">
      <c r="B127" t="str">
        <f t="shared" si="10"/>
        <v/>
      </c>
      <c r="C127" s="62">
        <f>IF(D94="","-",+C126+1)</f>
        <v>2049</v>
      </c>
      <c r="D127" s="648">
        <f>IF(F126+SUM(E$100:E126)=D$93,F126,D$93-SUM(E$100:E126))</f>
        <v>0</v>
      </c>
      <c r="E127" s="509">
        <f t="shared" si="16"/>
        <v>0</v>
      </c>
      <c r="F127" s="649">
        <f t="shared" si="17"/>
        <v>0</v>
      </c>
      <c r="G127" s="649">
        <f t="shared" si="18"/>
        <v>0</v>
      </c>
      <c r="H127" s="650">
        <f t="shared" si="21"/>
        <v>0</v>
      </c>
      <c r="I127" s="628">
        <f t="shared" si="20"/>
        <v>0</v>
      </c>
      <c r="J127" s="67">
        <f t="shared" si="12"/>
        <v>0</v>
      </c>
      <c r="K127" s="67"/>
      <c r="L127" s="130"/>
      <c r="M127" s="67">
        <f t="shared" si="13"/>
        <v>0</v>
      </c>
      <c r="N127" s="130"/>
      <c r="O127" s="67">
        <f t="shared" si="14"/>
        <v>0</v>
      </c>
      <c r="P127" s="67">
        <f t="shared" si="15"/>
        <v>0</v>
      </c>
    </row>
    <row r="128" spans="2:16">
      <c r="B128" t="str">
        <f t="shared" si="10"/>
        <v/>
      </c>
      <c r="C128" s="62">
        <f>IF(D94="","-",+C127+1)</f>
        <v>2050</v>
      </c>
      <c r="D128" s="648">
        <f>IF(F127+SUM(E$100:E127)=D$93,F127,D$93-SUM(E$100:E127))</f>
        <v>0</v>
      </c>
      <c r="E128" s="509">
        <f t="shared" si="16"/>
        <v>0</v>
      </c>
      <c r="F128" s="649">
        <f t="shared" si="17"/>
        <v>0</v>
      </c>
      <c r="G128" s="649">
        <f t="shared" si="18"/>
        <v>0</v>
      </c>
      <c r="H128" s="650">
        <f t="shared" si="21"/>
        <v>0</v>
      </c>
      <c r="I128" s="628">
        <f t="shared" si="20"/>
        <v>0</v>
      </c>
      <c r="J128" s="67">
        <f t="shared" si="12"/>
        <v>0</v>
      </c>
      <c r="K128" s="67"/>
      <c r="L128" s="130"/>
      <c r="M128" s="67">
        <f t="shared" si="13"/>
        <v>0</v>
      </c>
      <c r="N128" s="130"/>
      <c r="O128" s="67">
        <f t="shared" si="14"/>
        <v>0</v>
      </c>
      <c r="P128" s="67">
        <f t="shared" si="15"/>
        <v>0</v>
      </c>
    </row>
    <row r="129" spans="2:16">
      <c r="B129" t="str">
        <f t="shared" si="10"/>
        <v/>
      </c>
      <c r="C129" s="62">
        <f>IF(D94="","-",+C128+1)</f>
        <v>2051</v>
      </c>
      <c r="D129" s="648">
        <f>IF(F128+SUM(E$100:E128)=D$93,F128,D$93-SUM(E$100:E128))</f>
        <v>0</v>
      </c>
      <c r="E129" s="509">
        <f t="shared" si="16"/>
        <v>0</v>
      </c>
      <c r="F129" s="649">
        <f t="shared" si="17"/>
        <v>0</v>
      </c>
      <c r="G129" s="649">
        <f t="shared" si="18"/>
        <v>0</v>
      </c>
      <c r="H129" s="650">
        <f t="shared" si="21"/>
        <v>0</v>
      </c>
      <c r="I129" s="628">
        <f t="shared" si="20"/>
        <v>0</v>
      </c>
      <c r="J129" s="67">
        <f t="shared" si="12"/>
        <v>0</v>
      </c>
      <c r="K129" s="67"/>
      <c r="L129" s="130"/>
      <c r="M129" s="67">
        <f t="shared" si="13"/>
        <v>0</v>
      </c>
      <c r="N129" s="130"/>
      <c r="O129" s="67">
        <f t="shared" si="14"/>
        <v>0</v>
      </c>
      <c r="P129" s="67">
        <f t="shared" si="15"/>
        <v>0</v>
      </c>
    </row>
    <row r="130" spans="2:16">
      <c r="B130" t="str">
        <f t="shared" si="10"/>
        <v/>
      </c>
      <c r="C130" s="62">
        <f>IF(D94="","-",+C129+1)</f>
        <v>2052</v>
      </c>
      <c r="D130" s="648">
        <f>IF(F129+SUM(E$100:E129)=D$93,F129,D$93-SUM(E$100:E129))</f>
        <v>0</v>
      </c>
      <c r="E130" s="509">
        <f t="shared" si="16"/>
        <v>0</v>
      </c>
      <c r="F130" s="649">
        <f t="shared" si="17"/>
        <v>0</v>
      </c>
      <c r="G130" s="649">
        <f t="shared" si="18"/>
        <v>0</v>
      </c>
      <c r="H130" s="650">
        <f t="shared" si="21"/>
        <v>0</v>
      </c>
      <c r="I130" s="628">
        <f t="shared" si="20"/>
        <v>0</v>
      </c>
      <c r="J130" s="67">
        <f t="shared" si="12"/>
        <v>0</v>
      </c>
      <c r="K130" s="67"/>
      <c r="L130" s="130"/>
      <c r="M130" s="67">
        <f t="shared" si="13"/>
        <v>0</v>
      </c>
      <c r="N130" s="130"/>
      <c r="O130" s="67">
        <f t="shared" si="14"/>
        <v>0</v>
      </c>
      <c r="P130" s="67">
        <f t="shared" si="15"/>
        <v>0</v>
      </c>
    </row>
    <row r="131" spans="2:16">
      <c r="B131" t="str">
        <f t="shared" si="10"/>
        <v/>
      </c>
      <c r="C131" s="62">
        <f>IF(D94="","-",+C130+1)</f>
        <v>2053</v>
      </c>
      <c r="D131" s="648">
        <f>IF(F130+SUM(E$100:E130)=D$93,F130,D$93-SUM(E$100:E130))</f>
        <v>0</v>
      </c>
      <c r="E131" s="509">
        <f t="shared" si="16"/>
        <v>0</v>
      </c>
      <c r="F131" s="649">
        <f t="shared" si="17"/>
        <v>0</v>
      </c>
      <c r="G131" s="649">
        <f t="shared" si="18"/>
        <v>0</v>
      </c>
      <c r="H131" s="650">
        <f t="shared" si="21"/>
        <v>0</v>
      </c>
      <c r="I131" s="628">
        <f t="shared" si="20"/>
        <v>0</v>
      </c>
      <c r="J131" s="67">
        <f t="shared" si="12"/>
        <v>0</v>
      </c>
      <c r="K131" s="67"/>
      <c r="L131" s="130"/>
      <c r="M131" s="67">
        <f t="shared" si="13"/>
        <v>0</v>
      </c>
      <c r="N131" s="130"/>
      <c r="O131" s="67">
        <f t="shared" si="14"/>
        <v>0</v>
      </c>
      <c r="P131" s="67">
        <f t="shared" si="15"/>
        <v>0</v>
      </c>
    </row>
    <row r="132" spans="2:16">
      <c r="B132" t="str">
        <f t="shared" si="10"/>
        <v/>
      </c>
      <c r="C132" s="62">
        <f>IF(D94="","-",+C131+1)</f>
        <v>2054</v>
      </c>
      <c r="D132" s="648">
        <f>IF(F131+SUM(E$100:E131)=D$93,F131,D$93-SUM(E$100:E131))</f>
        <v>0</v>
      </c>
      <c r="E132" s="509">
        <f t="shared" si="16"/>
        <v>0</v>
      </c>
      <c r="F132" s="649">
        <f t="shared" si="17"/>
        <v>0</v>
      </c>
      <c r="G132" s="649">
        <f t="shared" si="18"/>
        <v>0</v>
      </c>
      <c r="H132" s="650">
        <f t="shared" si="21"/>
        <v>0</v>
      </c>
      <c r="I132" s="628">
        <f t="shared" si="20"/>
        <v>0</v>
      </c>
      <c r="J132" s="67">
        <f t="shared" ref="J132:J155" si="22">+I542-H542</f>
        <v>0</v>
      </c>
      <c r="K132" s="67"/>
      <c r="L132" s="130"/>
      <c r="M132" s="67">
        <f t="shared" ref="M132:M155" si="23">IF(L542&lt;&gt;0,+H542-L542,0)</f>
        <v>0</v>
      </c>
      <c r="N132" s="130"/>
      <c r="O132" s="67">
        <f t="shared" ref="O132:O155" si="24">IF(N542&lt;&gt;0,+I542-N542,0)</f>
        <v>0</v>
      </c>
      <c r="P132" s="67">
        <f t="shared" ref="P132:P155" si="25">+O542-M542</f>
        <v>0</v>
      </c>
    </row>
    <row r="133" spans="2:16">
      <c r="B133" t="str">
        <f t="shared" si="10"/>
        <v/>
      </c>
      <c r="C133" s="62">
        <f>IF(D94="","-",+C132+1)</f>
        <v>2055</v>
      </c>
      <c r="D133" s="648">
        <f>IF(F132+SUM(E$100:E132)=D$93,F132,D$93-SUM(E$100:E132))</f>
        <v>0</v>
      </c>
      <c r="E133" s="509">
        <f t="shared" si="16"/>
        <v>0</v>
      </c>
      <c r="F133" s="649">
        <f t="shared" si="17"/>
        <v>0</v>
      </c>
      <c r="G133" s="649">
        <f t="shared" si="18"/>
        <v>0</v>
      </c>
      <c r="H133" s="650">
        <f t="shared" si="21"/>
        <v>0</v>
      </c>
      <c r="I133" s="628">
        <f t="shared" si="20"/>
        <v>0</v>
      </c>
      <c r="J133" s="67">
        <f t="shared" si="22"/>
        <v>0</v>
      </c>
      <c r="K133" s="67"/>
      <c r="L133" s="130"/>
      <c r="M133" s="67">
        <f t="shared" si="23"/>
        <v>0</v>
      </c>
      <c r="N133" s="130"/>
      <c r="O133" s="67">
        <f t="shared" si="24"/>
        <v>0</v>
      </c>
      <c r="P133" s="67">
        <f t="shared" si="25"/>
        <v>0</v>
      </c>
    </row>
    <row r="134" spans="2:16">
      <c r="B134" t="str">
        <f t="shared" si="10"/>
        <v/>
      </c>
      <c r="C134" s="62">
        <f>IF(D94="","-",+C133+1)</f>
        <v>2056</v>
      </c>
      <c r="D134" s="648">
        <f>IF(F133+SUM(E$100:E133)=D$93,F133,D$93-SUM(E$100:E133))</f>
        <v>0</v>
      </c>
      <c r="E134" s="509">
        <f t="shared" si="16"/>
        <v>0</v>
      </c>
      <c r="F134" s="649">
        <f t="shared" si="17"/>
        <v>0</v>
      </c>
      <c r="G134" s="649">
        <f t="shared" si="18"/>
        <v>0</v>
      </c>
      <c r="H134" s="650">
        <f t="shared" si="21"/>
        <v>0</v>
      </c>
      <c r="I134" s="628">
        <f t="shared" si="20"/>
        <v>0</v>
      </c>
      <c r="J134" s="67">
        <f t="shared" si="22"/>
        <v>0</v>
      </c>
      <c r="K134" s="67"/>
      <c r="L134" s="130"/>
      <c r="M134" s="67">
        <f t="shared" si="23"/>
        <v>0</v>
      </c>
      <c r="N134" s="130"/>
      <c r="O134" s="67">
        <f t="shared" si="24"/>
        <v>0</v>
      </c>
      <c r="P134" s="67">
        <f t="shared" si="25"/>
        <v>0</v>
      </c>
    </row>
    <row r="135" spans="2:16">
      <c r="B135" t="str">
        <f t="shared" si="10"/>
        <v/>
      </c>
      <c r="C135" s="62">
        <f>IF(D94="","-",+C134+1)</f>
        <v>2057</v>
      </c>
      <c r="D135" s="648">
        <f>IF(F134+SUM(E$100:E134)=D$93,F134,D$93-SUM(E$100:E134))</f>
        <v>0</v>
      </c>
      <c r="E135" s="509">
        <f t="shared" si="16"/>
        <v>0</v>
      </c>
      <c r="F135" s="649">
        <f t="shared" si="17"/>
        <v>0</v>
      </c>
      <c r="G135" s="649">
        <f t="shared" si="18"/>
        <v>0</v>
      </c>
      <c r="H135" s="650">
        <f t="shared" si="21"/>
        <v>0</v>
      </c>
      <c r="I135" s="628">
        <f t="shared" si="20"/>
        <v>0</v>
      </c>
      <c r="J135" s="67">
        <f t="shared" si="22"/>
        <v>0</v>
      </c>
      <c r="K135" s="67"/>
      <c r="L135" s="130"/>
      <c r="M135" s="67">
        <f t="shared" si="23"/>
        <v>0</v>
      </c>
      <c r="N135" s="130"/>
      <c r="O135" s="67">
        <f t="shared" si="24"/>
        <v>0</v>
      </c>
      <c r="P135" s="67">
        <f t="shared" si="25"/>
        <v>0</v>
      </c>
    </row>
    <row r="136" spans="2:16">
      <c r="B136" t="str">
        <f t="shared" si="10"/>
        <v/>
      </c>
      <c r="C136" s="62">
        <f>IF(D94="","-",+C135+1)</f>
        <v>2058</v>
      </c>
      <c r="D136" s="648">
        <f>IF(F135+SUM(E$100:E135)=D$93,F135,D$93-SUM(E$100:E135))</f>
        <v>0</v>
      </c>
      <c r="E136" s="509">
        <f t="shared" si="16"/>
        <v>0</v>
      </c>
      <c r="F136" s="649">
        <f t="shared" si="17"/>
        <v>0</v>
      </c>
      <c r="G136" s="649">
        <f t="shared" si="18"/>
        <v>0</v>
      </c>
      <c r="H136" s="650">
        <f t="shared" si="21"/>
        <v>0</v>
      </c>
      <c r="I136" s="628">
        <f t="shared" si="20"/>
        <v>0</v>
      </c>
      <c r="J136" s="67">
        <f t="shared" si="22"/>
        <v>0</v>
      </c>
      <c r="K136" s="67"/>
      <c r="L136" s="130"/>
      <c r="M136" s="67">
        <f t="shared" si="23"/>
        <v>0</v>
      </c>
      <c r="N136" s="130"/>
      <c r="O136" s="67">
        <f t="shared" si="24"/>
        <v>0</v>
      </c>
      <c r="P136" s="67">
        <f t="shared" si="25"/>
        <v>0</v>
      </c>
    </row>
    <row r="137" spans="2:16">
      <c r="B137" t="str">
        <f t="shared" si="10"/>
        <v/>
      </c>
      <c r="C137" s="62">
        <f>IF(D94="","-",+C136+1)</f>
        <v>2059</v>
      </c>
      <c r="D137" s="648">
        <f>IF(F136+SUM(E$100:E136)=D$93,F136,D$93-SUM(E$100:E136))</f>
        <v>0</v>
      </c>
      <c r="E137" s="509">
        <f t="shared" si="16"/>
        <v>0</v>
      </c>
      <c r="F137" s="649">
        <f t="shared" si="17"/>
        <v>0</v>
      </c>
      <c r="G137" s="649">
        <f t="shared" si="18"/>
        <v>0</v>
      </c>
      <c r="H137" s="650">
        <f t="shared" si="21"/>
        <v>0</v>
      </c>
      <c r="I137" s="628">
        <f t="shared" si="20"/>
        <v>0</v>
      </c>
      <c r="J137" s="67">
        <f t="shared" si="22"/>
        <v>0</v>
      </c>
      <c r="K137" s="67"/>
      <c r="L137" s="130"/>
      <c r="M137" s="67">
        <f t="shared" si="23"/>
        <v>0</v>
      </c>
      <c r="N137" s="130"/>
      <c r="O137" s="67">
        <f t="shared" si="24"/>
        <v>0</v>
      </c>
      <c r="P137" s="67">
        <f t="shared" si="25"/>
        <v>0</v>
      </c>
    </row>
    <row r="138" spans="2:16">
      <c r="B138" t="str">
        <f t="shared" si="10"/>
        <v/>
      </c>
      <c r="C138" s="62">
        <f>IF(D94="","-",+C137+1)</f>
        <v>2060</v>
      </c>
      <c r="D138" s="648">
        <f>IF(F137+SUM(E$100:E137)=D$93,F137,D$93-SUM(E$100:E137))</f>
        <v>0</v>
      </c>
      <c r="E138" s="509">
        <f t="shared" si="16"/>
        <v>0</v>
      </c>
      <c r="F138" s="649">
        <f t="shared" si="17"/>
        <v>0</v>
      </c>
      <c r="G138" s="649">
        <f t="shared" si="18"/>
        <v>0</v>
      </c>
      <c r="H138" s="650">
        <f t="shared" si="21"/>
        <v>0</v>
      </c>
      <c r="I138" s="628">
        <f t="shared" si="20"/>
        <v>0</v>
      </c>
      <c r="J138" s="67">
        <f t="shared" si="22"/>
        <v>0</v>
      </c>
      <c r="K138" s="67"/>
      <c r="L138" s="130"/>
      <c r="M138" s="67">
        <f t="shared" si="23"/>
        <v>0</v>
      </c>
      <c r="N138" s="130"/>
      <c r="O138" s="67">
        <f t="shared" si="24"/>
        <v>0</v>
      </c>
      <c r="P138" s="67">
        <f t="shared" si="25"/>
        <v>0</v>
      </c>
    </row>
    <row r="139" spans="2:16">
      <c r="B139" t="str">
        <f t="shared" si="10"/>
        <v/>
      </c>
      <c r="C139" s="62">
        <f>IF(D94="","-",+C138+1)</f>
        <v>2061</v>
      </c>
      <c r="D139" s="648">
        <f>IF(F138+SUM(E$100:E138)=D$93,F138,D$93-SUM(E$100:E138))</f>
        <v>0</v>
      </c>
      <c r="E139" s="509">
        <f t="shared" si="16"/>
        <v>0</v>
      </c>
      <c r="F139" s="649">
        <f t="shared" si="17"/>
        <v>0</v>
      </c>
      <c r="G139" s="649">
        <f t="shared" si="18"/>
        <v>0</v>
      </c>
      <c r="H139" s="650">
        <f t="shared" si="21"/>
        <v>0</v>
      </c>
      <c r="I139" s="628">
        <f t="shared" si="20"/>
        <v>0</v>
      </c>
      <c r="J139" s="67">
        <f t="shared" si="22"/>
        <v>0</v>
      </c>
      <c r="K139" s="67"/>
      <c r="L139" s="130"/>
      <c r="M139" s="67">
        <f t="shared" si="23"/>
        <v>0</v>
      </c>
      <c r="N139" s="130"/>
      <c r="O139" s="67">
        <f t="shared" si="24"/>
        <v>0</v>
      </c>
      <c r="P139" s="67">
        <f t="shared" si="25"/>
        <v>0</v>
      </c>
    </row>
    <row r="140" spans="2:16">
      <c r="B140" t="str">
        <f t="shared" si="10"/>
        <v/>
      </c>
      <c r="C140" s="62">
        <f>IF(D94="","-",+C139+1)</f>
        <v>2062</v>
      </c>
      <c r="D140" s="648">
        <f>IF(F139+SUM(E$100:E139)=D$93,F139,D$93-SUM(E$100:E139))</f>
        <v>0</v>
      </c>
      <c r="E140" s="509">
        <f t="shared" si="16"/>
        <v>0</v>
      </c>
      <c r="F140" s="649">
        <f t="shared" si="17"/>
        <v>0</v>
      </c>
      <c r="G140" s="649">
        <f t="shared" si="18"/>
        <v>0</v>
      </c>
      <c r="H140" s="650">
        <f t="shared" si="21"/>
        <v>0</v>
      </c>
      <c r="I140" s="628">
        <f t="shared" si="20"/>
        <v>0</v>
      </c>
      <c r="J140" s="67">
        <f t="shared" si="22"/>
        <v>0</v>
      </c>
      <c r="K140" s="67"/>
      <c r="L140" s="130"/>
      <c r="M140" s="67">
        <f t="shared" si="23"/>
        <v>0</v>
      </c>
      <c r="N140" s="130"/>
      <c r="O140" s="67">
        <f t="shared" si="24"/>
        <v>0</v>
      </c>
      <c r="P140" s="67">
        <f t="shared" si="25"/>
        <v>0</v>
      </c>
    </row>
    <row r="141" spans="2:16">
      <c r="B141" t="str">
        <f t="shared" si="10"/>
        <v/>
      </c>
      <c r="C141" s="62">
        <f>IF(D94="","-",+C140+1)</f>
        <v>2063</v>
      </c>
      <c r="D141" s="648">
        <f>IF(F140+SUM(E$100:E140)=D$93,F140,D$93-SUM(E$100:E140))</f>
        <v>0</v>
      </c>
      <c r="E141" s="509">
        <f t="shared" si="16"/>
        <v>0</v>
      </c>
      <c r="F141" s="649">
        <f t="shared" si="17"/>
        <v>0</v>
      </c>
      <c r="G141" s="649">
        <f t="shared" si="18"/>
        <v>0</v>
      </c>
      <c r="H141" s="650">
        <f t="shared" si="21"/>
        <v>0</v>
      </c>
      <c r="I141" s="628">
        <f t="shared" si="20"/>
        <v>0</v>
      </c>
      <c r="J141" s="67">
        <f t="shared" si="22"/>
        <v>0</v>
      </c>
      <c r="K141" s="67"/>
      <c r="L141" s="130"/>
      <c r="M141" s="67">
        <f t="shared" si="23"/>
        <v>0</v>
      </c>
      <c r="N141" s="130"/>
      <c r="O141" s="67">
        <f t="shared" si="24"/>
        <v>0</v>
      </c>
      <c r="P141" s="67">
        <f t="shared" si="25"/>
        <v>0</v>
      </c>
    </row>
    <row r="142" spans="2:16">
      <c r="B142" t="str">
        <f t="shared" si="10"/>
        <v/>
      </c>
      <c r="C142" s="62">
        <f>IF(D94="","-",+C141+1)</f>
        <v>2064</v>
      </c>
      <c r="D142" s="648">
        <f>IF(F141+SUM(E$100:E141)=D$93,F141,D$93-SUM(E$100:E141))</f>
        <v>0</v>
      </c>
      <c r="E142" s="509">
        <f t="shared" si="16"/>
        <v>0</v>
      </c>
      <c r="F142" s="649">
        <f t="shared" si="17"/>
        <v>0</v>
      </c>
      <c r="G142" s="649">
        <f t="shared" si="18"/>
        <v>0</v>
      </c>
      <c r="H142" s="650">
        <f t="shared" si="21"/>
        <v>0</v>
      </c>
      <c r="I142" s="628">
        <f t="shared" si="20"/>
        <v>0</v>
      </c>
      <c r="J142" s="67">
        <f t="shared" si="22"/>
        <v>0</v>
      </c>
      <c r="K142" s="67"/>
      <c r="L142" s="130"/>
      <c r="M142" s="67">
        <f t="shared" si="23"/>
        <v>0</v>
      </c>
      <c r="N142" s="130"/>
      <c r="O142" s="67">
        <f t="shared" si="24"/>
        <v>0</v>
      </c>
      <c r="P142" s="67">
        <f t="shared" si="25"/>
        <v>0</v>
      </c>
    </row>
    <row r="143" spans="2:16">
      <c r="B143" t="str">
        <f t="shared" si="10"/>
        <v/>
      </c>
      <c r="C143" s="62">
        <f>IF(D94="","-",+C142+1)</f>
        <v>2065</v>
      </c>
      <c r="D143" s="648">
        <f>IF(F142+SUM(E$100:E142)=D$93,F142,D$93-SUM(E$100:E142))</f>
        <v>0</v>
      </c>
      <c r="E143" s="509">
        <f t="shared" si="16"/>
        <v>0</v>
      </c>
      <c r="F143" s="649">
        <f t="shared" si="17"/>
        <v>0</v>
      </c>
      <c r="G143" s="649">
        <f t="shared" si="18"/>
        <v>0</v>
      </c>
      <c r="H143" s="650">
        <f t="shared" si="21"/>
        <v>0</v>
      </c>
      <c r="I143" s="628">
        <f t="shared" si="20"/>
        <v>0</v>
      </c>
      <c r="J143" s="67">
        <f t="shared" si="22"/>
        <v>0</v>
      </c>
      <c r="K143" s="67"/>
      <c r="L143" s="130"/>
      <c r="M143" s="67">
        <f t="shared" si="23"/>
        <v>0</v>
      </c>
      <c r="N143" s="130"/>
      <c r="O143" s="67">
        <f t="shared" si="24"/>
        <v>0</v>
      </c>
      <c r="P143" s="67">
        <f t="shared" si="25"/>
        <v>0</v>
      </c>
    </row>
    <row r="144" spans="2:16">
      <c r="B144" t="str">
        <f t="shared" si="10"/>
        <v/>
      </c>
      <c r="C144" s="62">
        <f>IF(D94="","-",+C143+1)</f>
        <v>2066</v>
      </c>
      <c r="D144" s="648">
        <f>IF(F143+SUM(E$100:E143)=D$93,F143,D$93-SUM(E$100:E143))</f>
        <v>0</v>
      </c>
      <c r="E144" s="509">
        <f t="shared" si="16"/>
        <v>0</v>
      </c>
      <c r="F144" s="649">
        <f t="shared" si="17"/>
        <v>0</v>
      </c>
      <c r="G144" s="649">
        <f t="shared" si="18"/>
        <v>0</v>
      </c>
      <c r="H144" s="650">
        <f t="shared" si="21"/>
        <v>0</v>
      </c>
      <c r="I144" s="628">
        <f t="shared" si="20"/>
        <v>0</v>
      </c>
      <c r="J144" s="67">
        <f t="shared" si="22"/>
        <v>0</v>
      </c>
      <c r="K144" s="67"/>
      <c r="L144" s="130"/>
      <c r="M144" s="67">
        <f t="shared" si="23"/>
        <v>0</v>
      </c>
      <c r="N144" s="130"/>
      <c r="O144" s="67">
        <f t="shared" si="24"/>
        <v>0</v>
      </c>
      <c r="P144" s="67">
        <f t="shared" si="25"/>
        <v>0</v>
      </c>
    </row>
    <row r="145" spans="2:16">
      <c r="B145" t="str">
        <f t="shared" si="10"/>
        <v/>
      </c>
      <c r="C145" s="62">
        <f>IF(D94="","-",+C144+1)</f>
        <v>2067</v>
      </c>
      <c r="D145" s="648">
        <f>IF(F144+SUM(E$100:E144)=D$93,F144,D$93-SUM(E$100:E144))</f>
        <v>0</v>
      </c>
      <c r="E145" s="509">
        <f t="shared" si="16"/>
        <v>0</v>
      </c>
      <c r="F145" s="649">
        <f t="shared" si="17"/>
        <v>0</v>
      </c>
      <c r="G145" s="649">
        <f t="shared" si="18"/>
        <v>0</v>
      </c>
      <c r="H145" s="650">
        <f t="shared" si="21"/>
        <v>0</v>
      </c>
      <c r="I145" s="628">
        <f t="shared" si="20"/>
        <v>0</v>
      </c>
      <c r="J145" s="67">
        <f t="shared" si="22"/>
        <v>0</v>
      </c>
      <c r="K145" s="67"/>
      <c r="L145" s="130"/>
      <c r="M145" s="67">
        <f t="shared" si="23"/>
        <v>0</v>
      </c>
      <c r="N145" s="130"/>
      <c r="O145" s="67">
        <f t="shared" si="24"/>
        <v>0</v>
      </c>
      <c r="P145" s="67">
        <f t="shared" si="25"/>
        <v>0</v>
      </c>
    </row>
    <row r="146" spans="2:16">
      <c r="B146" t="str">
        <f t="shared" si="10"/>
        <v/>
      </c>
      <c r="C146" s="62">
        <f>IF(D94="","-",+C145+1)</f>
        <v>2068</v>
      </c>
      <c r="D146" s="648">
        <f>IF(F145+SUM(E$100:E145)=D$93,F145,D$93-SUM(E$100:E145))</f>
        <v>0</v>
      </c>
      <c r="E146" s="509">
        <f t="shared" si="16"/>
        <v>0</v>
      </c>
      <c r="F146" s="649">
        <f t="shared" si="17"/>
        <v>0</v>
      </c>
      <c r="G146" s="649">
        <f t="shared" si="18"/>
        <v>0</v>
      </c>
      <c r="H146" s="650">
        <f t="shared" si="21"/>
        <v>0</v>
      </c>
      <c r="I146" s="628">
        <f t="shared" si="20"/>
        <v>0</v>
      </c>
      <c r="J146" s="67">
        <f t="shared" si="22"/>
        <v>0</v>
      </c>
      <c r="K146" s="67"/>
      <c r="L146" s="130"/>
      <c r="M146" s="67">
        <f t="shared" si="23"/>
        <v>0</v>
      </c>
      <c r="N146" s="130"/>
      <c r="O146" s="67">
        <f t="shared" si="24"/>
        <v>0</v>
      </c>
      <c r="P146" s="67">
        <f t="shared" si="25"/>
        <v>0</v>
      </c>
    </row>
    <row r="147" spans="2:16">
      <c r="B147" t="str">
        <f t="shared" si="10"/>
        <v/>
      </c>
      <c r="C147" s="62">
        <f>IF(D94="","-",+C146+1)</f>
        <v>2069</v>
      </c>
      <c r="D147" s="648">
        <f>IF(F146+SUM(E$100:E146)=D$93,F146,D$93-SUM(E$100:E146))</f>
        <v>0</v>
      </c>
      <c r="E147" s="509">
        <f t="shared" si="16"/>
        <v>0</v>
      </c>
      <c r="F147" s="649">
        <f t="shared" si="17"/>
        <v>0</v>
      </c>
      <c r="G147" s="649">
        <f t="shared" si="18"/>
        <v>0</v>
      </c>
      <c r="H147" s="650">
        <f t="shared" si="21"/>
        <v>0</v>
      </c>
      <c r="I147" s="628">
        <f t="shared" si="20"/>
        <v>0</v>
      </c>
      <c r="J147" s="67">
        <f t="shared" si="22"/>
        <v>0</v>
      </c>
      <c r="K147" s="67"/>
      <c r="L147" s="130"/>
      <c r="M147" s="67">
        <f t="shared" si="23"/>
        <v>0</v>
      </c>
      <c r="N147" s="130"/>
      <c r="O147" s="67">
        <f t="shared" si="24"/>
        <v>0</v>
      </c>
      <c r="P147" s="67">
        <f t="shared" si="25"/>
        <v>0</v>
      </c>
    </row>
    <row r="148" spans="2:16">
      <c r="B148" t="str">
        <f t="shared" si="10"/>
        <v/>
      </c>
      <c r="C148" s="62">
        <f>IF(D94="","-",+C147+1)</f>
        <v>2070</v>
      </c>
      <c r="D148" s="648">
        <f>IF(F147+SUM(E$100:E147)=D$93,F147,D$93-SUM(E$100:E147))</f>
        <v>0</v>
      </c>
      <c r="E148" s="509">
        <f t="shared" si="16"/>
        <v>0</v>
      </c>
      <c r="F148" s="649">
        <f t="shared" si="17"/>
        <v>0</v>
      </c>
      <c r="G148" s="649">
        <f t="shared" si="18"/>
        <v>0</v>
      </c>
      <c r="H148" s="650">
        <f t="shared" si="21"/>
        <v>0</v>
      </c>
      <c r="I148" s="628">
        <f t="shared" si="20"/>
        <v>0</v>
      </c>
      <c r="J148" s="67">
        <f t="shared" si="22"/>
        <v>0</v>
      </c>
      <c r="K148" s="67"/>
      <c r="L148" s="130"/>
      <c r="M148" s="67">
        <f t="shared" si="23"/>
        <v>0</v>
      </c>
      <c r="N148" s="130"/>
      <c r="O148" s="67">
        <f t="shared" si="24"/>
        <v>0</v>
      </c>
      <c r="P148" s="67">
        <f t="shared" si="25"/>
        <v>0</v>
      </c>
    </row>
    <row r="149" spans="2:16">
      <c r="B149" t="str">
        <f t="shared" si="10"/>
        <v/>
      </c>
      <c r="C149" s="62">
        <f>IF(D94="","-",+C148+1)</f>
        <v>2071</v>
      </c>
      <c r="D149" s="648">
        <f>IF(F148+SUM(E$100:E148)=D$93,F148,D$93-SUM(E$100:E148))</f>
        <v>0</v>
      </c>
      <c r="E149" s="509">
        <f t="shared" si="16"/>
        <v>0</v>
      </c>
      <c r="F149" s="649">
        <f t="shared" si="17"/>
        <v>0</v>
      </c>
      <c r="G149" s="649">
        <f t="shared" si="18"/>
        <v>0</v>
      </c>
      <c r="H149" s="650">
        <f t="shared" si="21"/>
        <v>0</v>
      </c>
      <c r="I149" s="628">
        <f t="shared" si="20"/>
        <v>0</v>
      </c>
      <c r="J149" s="67">
        <f t="shared" si="22"/>
        <v>0</v>
      </c>
      <c r="K149" s="67"/>
      <c r="L149" s="130"/>
      <c r="M149" s="67">
        <f t="shared" si="23"/>
        <v>0</v>
      </c>
      <c r="N149" s="130"/>
      <c r="O149" s="67">
        <f t="shared" si="24"/>
        <v>0</v>
      </c>
      <c r="P149" s="67">
        <f t="shared" si="25"/>
        <v>0</v>
      </c>
    </row>
    <row r="150" spans="2:16">
      <c r="B150" t="str">
        <f t="shared" si="10"/>
        <v/>
      </c>
      <c r="C150" s="62">
        <f>IF(D94="","-",+C149+1)</f>
        <v>2072</v>
      </c>
      <c r="D150" s="648">
        <f>IF(F149+SUM(E$100:E149)=D$93,F149,D$93-SUM(E$100:E149))</f>
        <v>0</v>
      </c>
      <c r="E150" s="509">
        <f t="shared" si="16"/>
        <v>0</v>
      </c>
      <c r="F150" s="649">
        <f t="shared" si="17"/>
        <v>0</v>
      </c>
      <c r="G150" s="649">
        <f t="shared" si="18"/>
        <v>0</v>
      </c>
      <c r="H150" s="650">
        <f t="shared" si="21"/>
        <v>0</v>
      </c>
      <c r="I150" s="628">
        <f t="shared" si="20"/>
        <v>0</v>
      </c>
      <c r="J150" s="67">
        <f t="shared" si="22"/>
        <v>0</v>
      </c>
      <c r="K150" s="67"/>
      <c r="L150" s="130"/>
      <c r="M150" s="67">
        <f t="shared" si="23"/>
        <v>0</v>
      </c>
      <c r="N150" s="130"/>
      <c r="O150" s="67">
        <f t="shared" si="24"/>
        <v>0</v>
      </c>
      <c r="P150" s="67">
        <f t="shared" si="25"/>
        <v>0</v>
      </c>
    </row>
    <row r="151" spans="2:16">
      <c r="B151" t="str">
        <f t="shared" si="10"/>
        <v/>
      </c>
      <c r="C151" s="62">
        <f>IF(D94="","-",+C150+1)</f>
        <v>2073</v>
      </c>
      <c r="D151" s="648">
        <f>IF(F150+SUM(E$100:E150)=D$93,F150,D$93-SUM(E$100:E150))</f>
        <v>0</v>
      </c>
      <c r="E151" s="509">
        <f t="shared" si="16"/>
        <v>0</v>
      </c>
      <c r="F151" s="649">
        <f t="shared" si="17"/>
        <v>0</v>
      </c>
      <c r="G151" s="649">
        <f t="shared" si="18"/>
        <v>0</v>
      </c>
      <c r="H151" s="650">
        <f t="shared" si="21"/>
        <v>0</v>
      </c>
      <c r="I151" s="628">
        <f t="shared" si="20"/>
        <v>0</v>
      </c>
      <c r="J151" s="67">
        <f t="shared" si="22"/>
        <v>0</v>
      </c>
      <c r="K151" s="67"/>
      <c r="L151" s="130"/>
      <c r="M151" s="67">
        <f t="shared" si="23"/>
        <v>0</v>
      </c>
      <c r="N151" s="130"/>
      <c r="O151" s="67">
        <f t="shared" si="24"/>
        <v>0</v>
      </c>
      <c r="P151" s="67">
        <f t="shared" si="25"/>
        <v>0</v>
      </c>
    </row>
    <row r="152" spans="2:16">
      <c r="B152" t="str">
        <f t="shared" si="10"/>
        <v/>
      </c>
      <c r="C152" s="62">
        <f>IF(D94="","-",+C151+1)</f>
        <v>2074</v>
      </c>
      <c r="D152" s="648">
        <f>IF(F151+SUM(E$100:E151)=D$93,F151,D$93-SUM(E$100:E151))</f>
        <v>0</v>
      </c>
      <c r="E152" s="509">
        <f t="shared" si="16"/>
        <v>0</v>
      </c>
      <c r="F152" s="649">
        <f t="shared" si="17"/>
        <v>0</v>
      </c>
      <c r="G152" s="649">
        <f t="shared" si="18"/>
        <v>0</v>
      </c>
      <c r="H152" s="650">
        <f t="shared" si="21"/>
        <v>0</v>
      </c>
      <c r="I152" s="628">
        <f t="shared" si="20"/>
        <v>0</v>
      </c>
      <c r="J152" s="67">
        <f t="shared" si="22"/>
        <v>0</v>
      </c>
      <c r="K152" s="67"/>
      <c r="L152" s="130"/>
      <c r="M152" s="67">
        <f t="shared" si="23"/>
        <v>0</v>
      </c>
      <c r="N152" s="130"/>
      <c r="O152" s="67">
        <f t="shared" si="24"/>
        <v>0</v>
      </c>
      <c r="P152" s="67">
        <f t="shared" si="25"/>
        <v>0</v>
      </c>
    </row>
    <row r="153" spans="2:16">
      <c r="B153" t="str">
        <f t="shared" si="10"/>
        <v/>
      </c>
      <c r="C153" s="62">
        <f>IF(D94="","-",+C152+1)</f>
        <v>2075</v>
      </c>
      <c r="D153" s="648">
        <f>IF(F152+SUM(E$100:E152)=D$93,F152,D$93-SUM(E$100:E152))</f>
        <v>0</v>
      </c>
      <c r="E153" s="509">
        <f t="shared" si="16"/>
        <v>0</v>
      </c>
      <c r="F153" s="649">
        <f t="shared" si="17"/>
        <v>0</v>
      </c>
      <c r="G153" s="649">
        <f t="shared" si="18"/>
        <v>0</v>
      </c>
      <c r="H153" s="650">
        <f t="shared" si="21"/>
        <v>0</v>
      </c>
      <c r="I153" s="628">
        <f t="shared" si="20"/>
        <v>0</v>
      </c>
      <c r="J153" s="67">
        <f t="shared" si="22"/>
        <v>0</v>
      </c>
      <c r="K153" s="67"/>
      <c r="L153" s="130"/>
      <c r="M153" s="67">
        <f t="shared" si="23"/>
        <v>0</v>
      </c>
      <c r="N153" s="130"/>
      <c r="O153" s="67">
        <f t="shared" si="24"/>
        <v>0</v>
      </c>
      <c r="P153" s="67">
        <f t="shared" si="25"/>
        <v>0</v>
      </c>
    </row>
    <row r="154" spans="2:16">
      <c r="B154" t="str">
        <f t="shared" si="10"/>
        <v/>
      </c>
      <c r="C154" s="62">
        <f>IF(D94="","-",+C153+1)</f>
        <v>2076</v>
      </c>
      <c r="D154" s="648">
        <f>IF(F153+SUM(E$100:E153)=D$93,F153,D$93-SUM(E$100:E153))</f>
        <v>0</v>
      </c>
      <c r="E154" s="509">
        <f t="shared" si="16"/>
        <v>0</v>
      </c>
      <c r="F154" s="649">
        <f t="shared" si="17"/>
        <v>0</v>
      </c>
      <c r="G154" s="649">
        <f t="shared" si="18"/>
        <v>0</v>
      </c>
      <c r="H154" s="650">
        <f t="shared" si="21"/>
        <v>0</v>
      </c>
      <c r="I154" s="628">
        <f t="shared" si="20"/>
        <v>0</v>
      </c>
      <c r="J154" s="67">
        <f t="shared" si="22"/>
        <v>0</v>
      </c>
      <c r="K154" s="67"/>
      <c r="L154" s="130"/>
      <c r="M154" s="67">
        <f t="shared" si="23"/>
        <v>0</v>
      </c>
      <c r="N154" s="130"/>
      <c r="O154" s="67">
        <f t="shared" si="24"/>
        <v>0</v>
      </c>
      <c r="P154" s="67">
        <f t="shared" si="25"/>
        <v>0</v>
      </c>
    </row>
    <row r="155" spans="2:16" ht="13.5" thickBot="1">
      <c r="B155" t="str">
        <f t="shared" si="10"/>
        <v/>
      </c>
      <c r="C155" s="73">
        <f>IF(D94="","-",+C154+1)</f>
        <v>2077</v>
      </c>
      <c r="D155" s="651">
        <f>IF(F154+SUM(E$100:E154)=D$93,F154,D$93-SUM(E$100:E154))</f>
        <v>0</v>
      </c>
      <c r="E155" s="526">
        <f t="shared" si="16"/>
        <v>0</v>
      </c>
      <c r="F155" s="652">
        <f t="shared" si="17"/>
        <v>0</v>
      </c>
      <c r="G155" s="652">
        <f t="shared" si="18"/>
        <v>0</v>
      </c>
      <c r="H155" s="650">
        <f t="shared" si="21"/>
        <v>0</v>
      </c>
      <c r="I155" s="624">
        <f t="shared" si="20"/>
        <v>0</v>
      </c>
      <c r="J155" s="78">
        <f t="shared" si="22"/>
        <v>0</v>
      </c>
      <c r="K155" s="67"/>
      <c r="L155" s="131"/>
      <c r="M155" s="78">
        <f t="shared" si="23"/>
        <v>0</v>
      </c>
      <c r="N155" s="131"/>
      <c r="O155" s="78">
        <f t="shared" si="24"/>
        <v>0</v>
      </c>
      <c r="P155" s="78">
        <f t="shared" si="25"/>
        <v>0</v>
      </c>
    </row>
    <row r="156" spans="2:16">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c r="C157" t="s">
        <v>90</v>
      </c>
      <c r="D157" s="2"/>
      <c r="E157" s="1"/>
      <c r="F157" s="1"/>
      <c r="G157" s="1"/>
      <c r="H157" s="1"/>
      <c r="I157" s="3"/>
      <c r="J157" s="3"/>
      <c r="K157" s="19"/>
      <c r="L157" s="3"/>
      <c r="M157" s="3"/>
      <c r="N157" s="3"/>
      <c r="O157" s="3"/>
      <c r="P157" s="1"/>
    </row>
    <row r="158" spans="2:16">
      <c r="C158" s="100"/>
      <c r="D158" s="2"/>
      <c r="E158" s="1"/>
      <c r="F158" s="1"/>
      <c r="G158" s="1"/>
      <c r="H158" s="1"/>
      <c r="I158" s="3"/>
      <c r="J158" s="3"/>
      <c r="K158" s="19"/>
      <c r="L158" s="3"/>
      <c r="M158" s="3"/>
      <c r="N158" s="3"/>
      <c r="O158" s="3"/>
      <c r="P158" s="1"/>
    </row>
    <row r="159" spans="2:16">
      <c r="C159" s="115" t="s">
        <v>130</v>
      </c>
      <c r="D159" s="2"/>
      <c r="E159" s="1"/>
      <c r="F159" s="1"/>
      <c r="G159" s="1"/>
      <c r="H159" s="1"/>
      <c r="I159" s="3"/>
      <c r="J159" s="3"/>
      <c r="K159" s="19"/>
      <c r="L159" s="3"/>
      <c r="M159" s="3"/>
      <c r="N159" s="3"/>
      <c r="O159" s="3"/>
      <c r="P159" s="1"/>
    </row>
    <row r="160" spans="2:16">
      <c r="C160" s="31" t="s">
        <v>76</v>
      </c>
      <c r="D160" s="63"/>
      <c r="E160" s="63"/>
      <c r="F160" s="63"/>
      <c r="G160" s="63"/>
      <c r="H160" s="19"/>
      <c r="I160" s="19"/>
      <c r="J160" s="80"/>
      <c r="K160" s="80"/>
      <c r="L160" s="80"/>
      <c r="M160" s="80"/>
      <c r="N160" s="80"/>
      <c r="O160" s="80"/>
      <c r="P160" s="1"/>
    </row>
    <row r="161" spans="3:16">
      <c r="C161" s="101" t="s">
        <v>77</v>
      </c>
      <c r="D161" s="63"/>
      <c r="E161" s="63"/>
      <c r="F161" s="63"/>
      <c r="G161" s="63"/>
      <c r="H161" s="19"/>
      <c r="I161" s="19"/>
      <c r="J161" s="80"/>
      <c r="K161" s="80"/>
      <c r="L161" s="80"/>
      <c r="M161" s="80"/>
      <c r="N161" s="80"/>
      <c r="O161" s="80"/>
      <c r="P161" s="1"/>
    </row>
    <row r="162" spans="3:16">
      <c r="C162" s="101"/>
      <c r="D162" s="63"/>
      <c r="E162" s="63"/>
      <c r="F162" s="63"/>
      <c r="G162" s="63"/>
      <c r="H162" s="19"/>
      <c r="I162" s="19"/>
      <c r="J162" s="80"/>
      <c r="K162" s="80"/>
      <c r="L162" s="80"/>
      <c r="M162" s="80"/>
      <c r="N162" s="80"/>
      <c r="O162" s="80"/>
      <c r="P162" s="1"/>
    </row>
    <row r="163" spans="3:16" ht="18">
      <c r="C163" s="101"/>
      <c r="D163" s="63"/>
      <c r="E163" s="63"/>
      <c r="F163" s="63"/>
      <c r="G163" s="63"/>
      <c r="H163" s="19"/>
      <c r="I163" s="19"/>
      <c r="J163" s="80"/>
      <c r="K163" s="80"/>
      <c r="L163" s="80"/>
      <c r="M163" s="80"/>
      <c r="N163" s="80"/>
      <c r="P163" s="112" t="s">
        <v>129</v>
      </c>
    </row>
  </sheetData>
  <conditionalFormatting sqref="C17:C71 C73">
    <cfRule type="cellIs" dxfId="5" priority="2" stopIfTrue="1" operator="equal">
      <formula>$I$10</formula>
    </cfRule>
  </conditionalFormatting>
  <conditionalFormatting sqref="C100:C155">
    <cfRule type="cellIs" dxfId="4" priority="3" stopIfTrue="1" operator="equal">
      <formula>$J$93</formula>
    </cfRule>
  </conditionalFormatting>
  <conditionalFormatting sqref="C72">
    <cfRule type="cellIs" dxfId="3" priority="1" stopIfTrue="1" operator="equal">
      <formula>$I$10</formula>
    </cfRule>
  </conditionalFormatting>
  <pageMargins left="0.5" right="0.25" top="1" bottom="0.5" header="0.25" footer="0.5"/>
  <pageSetup scale="47" orientation="landscape" r:id="rId1"/>
  <headerFooter>
    <oddHeader xml:space="preserve">&amp;R&amp;18AEPTCo - SPP Formula Rate
&amp;A TCOS - Worksheets F and G
Section IV -- (BPU Project Tables)
Page: &amp;P of &amp;N
</oddHeader>
    <oddFooter>&amp;L&amp;A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P163"/>
  <sheetViews>
    <sheetView topLeftCell="A91" zoomScaleNormal="100" workbookViewId="0">
      <selection activeCell="D100" sqref="D100:J107"/>
    </sheetView>
  </sheetViews>
  <sheetFormatPr defaultRowHeight="12.75" customHeight="1"/>
  <cols>
    <col min="1" max="1" width="4.7109375" customWidth="1"/>
    <col min="2" max="2" width="6.7109375" customWidth="1"/>
    <col min="3" max="3" width="23.28515625" customWidth="1"/>
    <col min="4" max="8" width="17.7109375" customWidth="1"/>
    <col min="9" max="9" width="20.42578125" customWidth="1"/>
    <col min="10" max="10" width="16.42578125" customWidth="1"/>
    <col min="11" max="11" width="17.7109375" customWidth="1"/>
    <col min="12" max="12" width="16.140625" customWidth="1"/>
    <col min="13" max="13" width="17.7109375" customWidth="1"/>
    <col min="14" max="14" width="16.7109375" customWidth="1"/>
    <col min="15" max="15" width="16.85546875" customWidth="1"/>
    <col min="16" max="16" width="24.42578125" customWidth="1"/>
    <col min="17" max="17" width="9.140625" customWidth="1"/>
    <col min="23" max="23" width="9.140625" customWidth="1"/>
  </cols>
  <sheetData>
    <row r="1" spans="1:16" ht="20.25">
      <c r="A1" s="110" t="s">
        <v>189</v>
      </c>
      <c r="B1" s="1"/>
      <c r="C1" s="9"/>
      <c r="D1" s="2"/>
      <c r="E1" s="1"/>
      <c r="F1" s="14"/>
      <c r="G1" s="1"/>
      <c r="H1" s="3"/>
      <c r="J1" s="7"/>
      <c r="K1" s="18"/>
      <c r="L1" s="18"/>
      <c r="M1" s="18"/>
      <c r="P1" s="116" t="str">
        <f ca="1">"OKT Project "&amp;RIGHT(MID(CELL("filename",$A$1),FIND("]",CELL("filename",$A$1))+1,256),2)&amp;" of "&amp;COUNT('OKT.001:OKT.xyz - blank'!$P$3)-1</f>
        <v>OKT Project nk of 23</v>
      </c>
    </row>
    <row r="2" spans="1:16" ht="18">
      <c r="B2" s="1"/>
      <c r="C2" s="1"/>
      <c r="D2" s="2"/>
      <c r="E2" s="1"/>
      <c r="F2" s="1"/>
      <c r="G2" s="1"/>
      <c r="H2" s="3"/>
      <c r="I2" s="1"/>
      <c r="J2" s="4"/>
      <c r="K2" s="1"/>
      <c r="L2" s="1"/>
      <c r="M2" s="1"/>
      <c r="N2" s="1"/>
      <c r="P2" s="117" t="s">
        <v>131</v>
      </c>
    </row>
    <row r="3" spans="1:16" ht="18.75">
      <c r="B3" s="5" t="s">
        <v>42</v>
      </c>
      <c r="C3" s="13" t="s">
        <v>43</v>
      </c>
      <c r="D3" s="2"/>
      <c r="E3" s="1"/>
      <c r="F3" s="1"/>
      <c r="G3" s="1"/>
      <c r="H3" s="3"/>
      <c r="I3" s="3"/>
      <c r="J3" s="19"/>
      <c r="K3" s="3"/>
      <c r="L3" s="3"/>
      <c r="M3" s="3"/>
      <c r="N3" s="3"/>
      <c r="O3" s="1"/>
      <c r="P3" s="108">
        <v>1</v>
      </c>
    </row>
    <row r="4" spans="1:16" ht="15.75" thickBot="1">
      <c r="C4" s="12"/>
      <c r="D4" s="2"/>
      <c r="E4" s="1"/>
      <c r="F4" s="1"/>
      <c r="G4" s="1"/>
      <c r="H4" s="3"/>
      <c r="I4" s="3"/>
      <c r="J4" s="19"/>
      <c r="K4" s="3"/>
      <c r="L4" s="3"/>
      <c r="M4" s="3"/>
      <c r="N4" s="3"/>
      <c r="O4" s="1"/>
      <c r="P4" s="1"/>
    </row>
    <row r="5" spans="1:16" ht="15">
      <c r="C5" s="20" t="s">
        <v>44</v>
      </c>
      <c r="D5" s="2"/>
      <c r="E5" s="1"/>
      <c r="F5" s="1"/>
      <c r="G5" s="21"/>
      <c r="H5" s="1" t="s">
        <v>45</v>
      </c>
      <c r="I5" s="1"/>
      <c r="J5" s="4"/>
      <c r="K5" s="22" t="s">
        <v>242</v>
      </c>
      <c r="L5" s="23"/>
      <c r="M5" s="24"/>
      <c r="N5" s="25">
        <f>VLOOKUP(I10,C17:I73,5)</f>
        <v>0</v>
      </c>
      <c r="P5" s="1"/>
    </row>
    <row r="6" spans="1:16" ht="15.75">
      <c r="C6" s="8"/>
      <c r="D6" s="2"/>
      <c r="E6" s="1"/>
      <c r="F6" s="1"/>
      <c r="G6" s="1"/>
      <c r="H6" s="26"/>
      <c r="I6" s="26"/>
      <c r="J6" s="27"/>
      <c r="K6" s="28" t="s">
        <v>243</v>
      </c>
      <c r="L6" s="29"/>
      <c r="M6" s="4"/>
      <c r="N6" s="30">
        <f>VLOOKUP(I10,C17:I73,6)</f>
        <v>0</v>
      </c>
      <c r="O6" s="1"/>
      <c r="P6" s="1"/>
    </row>
    <row r="7" spans="1:16" ht="13.5" thickBot="1">
      <c r="C7" s="31" t="s">
        <v>46</v>
      </c>
      <c r="D7" s="104" t="s">
        <v>245</v>
      </c>
      <c r="E7" s="1"/>
      <c r="F7" s="1"/>
      <c r="G7" s="1"/>
      <c r="H7" s="3"/>
      <c r="I7" s="3"/>
      <c r="J7" s="19"/>
      <c r="K7" s="32" t="s">
        <v>47</v>
      </c>
      <c r="L7" s="33"/>
      <c r="M7" s="33"/>
      <c r="N7" s="34">
        <f>+N6-N5</f>
        <v>0</v>
      </c>
      <c r="O7" s="1"/>
      <c r="P7" s="1"/>
    </row>
    <row r="8" spans="1:16" ht="13.5" thickBot="1">
      <c r="C8" s="35"/>
      <c r="D8" s="114" t="str">
        <f>IF(D10&lt;100000,"DOES NOT MEET SPP $100,000 MINIMUM INVESTMENT FOR REGIONAL BPU SHARING.","")</f>
        <v>DOES NOT MEET SPP $100,000 MINIMUM INVESTMENT FOR REGIONAL BPU SHARING.</v>
      </c>
      <c r="E8" s="36"/>
      <c r="F8" s="36"/>
      <c r="G8" s="36"/>
      <c r="H8" s="36"/>
      <c r="I8" s="36"/>
      <c r="J8" s="15"/>
      <c r="K8" s="36"/>
      <c r="L8" s="36"/>
      <c r="M8" s="36"/>
      <c r="N8" s="36"/>
      <c r="O8" s="15"/>
      <c r="P8" s="9"/>
    </row>
    <row r="9" spans="1:16" ht="13.5" thickBot="1">
      <c r="C9" s="37" t="s">
        <v>48</v>
      </c>
      <c r="D9" s="106" t="s">
        <v>78</v>
      </c>
      <c r="E9" s="38"/>
      <c r="F9" s="38"/>
      <c r="G9" s="38"/>
      <c r="H9" s="38"/>
      <c r="I9" s="39"/>
      <c r="J9" s="40"/>
      <c r="O9" s="41"/>
      <c r="P9" s="4"/>
    </row>
    <row r="10" spans="1:16">
      <c r="C10" s="42" t="s">
        <v>49</v>
      </c>
      <c r="D10" s="43">
        <v>0</v>
      </c>
      <c r="E10" s="11" t="s">
        <v>50</v>
      </c>
      <c r="F10" s="41"/>
      <c r="G10" s="44"/>
      <c r="H10" s="44"/>
      <c r="I10" s="45">
        <f>+OKT.WS.F.BPU.ATRR.Projected!R101</f>
        <v>2022</v>
      </c>
      <c r="J10" s="40"/>
      <c r="K10" s="19" t="s">
        <v>51</v>
      </c>
      <c r="O10" s="4"/>
      <c r="P10" s="4"/>
    </row>
    <row r="11" spans="1:16">
      <c r="C11" s="46" t="s">
        <v>52</v>
      </c>
      <c r="D11" s="47">
        <v>2018</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c r="C12" s="46" t="s">
        <v>54</v>
      </c>
      <c r="D12" s="43">
        <v>4</v>
      </c>
      <c r="E12" s="46" t="s">
        <v>55</v>
      </c>
      <c r="F12" s="44"/>
      <c r="G12" s="7"/>
      <c r="H12" s="7"/>
      <c r="I12" s="50">
        <f>OKT.WS.F.BPU.ATRR.Projected!$F$79</f>
        <v>0.11475877389767174</v>
      </c>
      <c r="J12" s="51"/>
      <c r="K12" t="s">
        <v>56</v>
      </c>
      <c r="O12" s="4"/>
      <c r="P12" s="4"/>
    </row>
    <row r="13" spans="1:16">
      <c r="C13" s="46" t="s">
        <v>57</v>
      </c>
      <c r="D13" s="48">
        <f>+OKT.WS.F.BPU.ATRR.Projected!F$90</f>
        <v>33</v>
      </c>
      <c r="E13" s="46" t="s">
        <v>58</v>
      </c>
      <c r="F13" s="44"/>
      <c r="G13" s="7"/>
      <c r="H13" s="7"/>
      <c r="I13" s="50">
        <f>IF(G5="",I12,OKT.WS.F.BPU.ATRR.Projected!$F$78)</f>
        <v>0.11475877389767174</v>
      </c>
      <c r="J13" s="51"/>
      <c r="K13" s="19" t="s">
        <v>59</v>
      </c>
      <c r="L13" s="10"/>
      <c r="M13" s="10"/>
      <c r="N13" s="10"/>
      <c r="O13" s="4"/>
      <c r="P13" s="4"/>
    </row>
    <row r="14" spans="1:16" ht="13.5" thickBot="1">
      <c r="C14" s="46" t="s">
        <v>60</v>
      </c>
      <c r="D14" s="47" t="s">
        <v>61</v>
      </c>
      <c r="E14" s="4" t="s">
        <v>62</v>
      </c>
      <c r="F14" s="44"/>
      <c r="G14" s="7"/>
      <c r="H14" s="7"/>
      <c r="I14" s="52">
        <f>IF(D10=0,0,D10/D13)</f>
        <v>0</v>
      </c>
      <c r="J14" s="19"/>
      <c r="K14" s="19"/>
      <c r="L14" s="19"/>
      <c r="M14" s="19"/>
      <c r="N14" s="19"/>
      <c r="O14" s="4"/>
      <c r="P14" s="4"/>
    </row>
    <row r="15" spans="1:16" ht="38.25">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c r="B17" t="str">
        <f t="shared" ref="B17:B71" si="0">IF(D17=F16,"","IU")</f>
        <v>IU</v>
      </c>
      <c r="C17" s="62">
        <f>IF(D11= "","-",D11)</f>
        <v>2018</v>
      </c>
      <c r="D17" s="63">
        <v>0</v>
      </c>
      <c r="E17" s="64">
        <f>IF(D10&gt;=100000,I$14/12*(12-D12),0)</f>
        <v>0</v>
      </c>
      <c r="F17" s="68">
        <f>IF(D11=C17,+D10-E17,+D17-E17)</f>
        <v>0</v>
      </c>
      <c r="G17" s="64">
        <f>(D17+F17)/2*I$12+E17</f>
        <v>0</v>
      </c>
      <c r="H17" s="52">
        <f>+(D17+F17)/2*I$13+E17</f>
        <v>0</v>
      </c>
      <c r="I17" s="65">
        <f t="shared" ref="I17:I48" si="1">H17-G17</f>
        <v>0</v>
      </c>
      <c r="J17" s="65"/>
      <c r="K17" s="132"/>
      <c r="L17" s="66">
        <f t="shared" ref="L17:L48" si="2">IF(K17&lt;&gt;0,+G17-K17,0)</f>
        <v>0</v>
      </c>
      <c r="M17" s="132"/>
      <c r="N17" s="66">
        <f t="shared" ref="N17:N48" si="3">IF(M17&lt;&gt;0,+H17-M17,0)</f>
        <v>0</v>
      </c>
      <c r="O17" s="67">
        <f t="shared" ref="O17:O48" si="4">+N17-L17</f>
        <v>0</v>
      </c>
      <c r="P17" s="4"/>
    </row>
    <row r="18" spans="2:16">
      <c r="B18" t="str">
        <f t="shared" si="0"/>
        <v/>
      </c>
      <c r="C18" s="62">
        <f>IF(D11="","-",+C17+1)</f>
        <v>2019</v>
      </c>
      <c r="D18" s="71">
        <f>IF(F17+SUM(E$17:E17)=D$10,F17,D$10-SUM(E$17:E17))</f>
        <v>0</v>
      </c>
      <c r="E18" s="69">
        <f t="shared" ref="E18:E49" si="5">IF(+I$14&lt;F17,I$14,D18)</f>
        <v>0</v>
      </c>
      <c r="F18" s="68">
        <f t="shared" ref="F18:F48" si="6">+D18-E18</f>
        <v>0</v>
      </c>
      <c r="G18" s="70">
        <f t="shared" ref="G18:G71" si="7">(D18+F18)/2*I$12+E18</f>
        <v>0</v>
      </c>
      <c r="H18" s="52">
        <f t="shared" ref="H18:H71" si="8">+(D18+F18)/2*I$13+E18</f>
        <v>0</v>
      </c>
      <c r="I18" s="65">
        <f t="shared" si="1"/>
        <v>0</v>
      </c>
      <c r="J18" s="65"/>
      <c r="K18" s="130"/>
      <c r="L18" s="67">
        <f t="shared" si="2"/>
        <v>0</v>
      </c>
      <c r="M18" s="130"/>
      <c r="N18" s="67">
        <f t="shared" si="3"/>
        <v>0</v>
      </c>
      <c r="O18" s="67">
        <f t="shared" si="4"/>
        <v>0</v>
      </c>
      <c r="P18" s="4"/>
    </row>
    <row r="19" spans="2:16">
      <c r="B19" t="str">
        <f t="shared" si="0"/>
        <v/>
      </c>
      <c r="C19" s="62">
        <f>IF(D11="","-",+C18+1)</f>
        <v>2020</v>
      </c>
      <c r="D19" s="71">
        <f>IF(F18+SUM(E$17:E18)=D$10,F18,D$10-SUM(E$17:E18))</f>
        <v>0</v>
      </c>
      <c r="E19" s="69">
        <f t="shared" si="5"/>
        <v>0</v>
      </c>
      <c r="F19" s="68">
        <f t="shared" si="6"/>
        <v>0</v>
      </c>
      <c r="G19" s="70">
        <f t="shared" si="7"/>
        <v>0</v>
      </c>
      <c r="H19" s="52">
        <f t="shared" si="8"/>
        <v>0</v>
      </c>
      <c r="I19" s="65">
        <f t="shared" si="1"/>
        <v>0</v>
      </c>
      <c r="J19" s="65"/>
      <c r="K19" s="130"/>
      <c r="L19" s="67">
        <f t="shared" si="2"/>
        <v>0</v>
      </c>
      <c r="M19" s="130"/>
      <c r="N19" s="67">
        <f t="shared" si="3"/>
        <v>0</v>
      </c>
      <c r="O19" s="67">
        <f t="shared" si="4"/>
        <v>0</v>
      </c>
      <c r="P19" s="4"/>
    </row>
    <row r="20" spans="2:16">
      <c r="B20" t="str">
        <f t="shared" si="0"/>
        <v/>
      </c>
      <c r="C20" s="62">
        <f>IF(D11="","-",+C19+1)</f>
        <v>2021</v>
      </c>
      <c r="D20" s="71">
        <f>IF(F19+SUM(E$17:E19)=D$10,F19,D$10-SUM(E$17:E19))</f>
        <v>0</v>
      </c>
      <c r="E20" s="69">
        <f t="shared" si="5"/>
        <v>0</v>
      </c>
      <c r="F20" s="68">
        <f t="shared" si="6"/>
        <v>0</v>
      </c>
      <c r="G20" s="70">
        <f t="shared" si="7"/>
        <v>0</v>
      </c>
      <c r="H20" s="52">
        <f t="shared" si="8"/>
        <v>0</v>
      </c>
      <c r="I20" s="65">
        <f t="shared" si="1"/>
        <v>0</v>
      </c>
      <c r="J20" s="65"/>
      <c r="K20" s="130"/>
      <c r="L20" s="67">
        <f t="shared" si="2"/>
        <v>0</v>
      </c>
      <c r="M20" s="130"/>
      <c r="N20" s="67">
        <f t="shared" si="3"/>
        <v>0</v>
      </c>
      <c r="O20" s="67">
        <f t="shared" si="4"/>
        <v>0</v>
      </c>
      <c r="P20" s="4"/>
    </row>
    <row r="21" spans="2:16">
      <c r="B21" t="str">
        <f t="shared" si="0"/>
        <v/>
      </c>
      <c r="C21" s="62">
        <f>IF(D11="","-",+C20+1)</f>
        <v>2022</v>
      </c>
      <c r="D21" s="71">
        <f>IF(F20+SUM(E$17:E20)=D$10,F20,D$10-SUM(E$17:E20))</f>
        <v>0</v>
      </c>
      <c r="E21" s="69">
        <f t="shared" si="5"/>
        <v>0</v>
      </c>
      <c r="F21" s="68">
        <f t="shared" si="6"/>
        <v>0</v>
      </c>
      <c r="G21" s="70">
        <f t="shared" si="7"/>
        <v>0</v>
      </c>
      <c r="H21" s="52">
        <f t="shared" si="8"/>
        <v>0</v>
      </c>
      <c r="I21" s="65">
        <f t="shared" si="1"/>
        <v>0</v>
      </c>
      <c r="J21" s="65"/>
      <c r="K21" s="130"/>
      <c r="L21" s="67">
        <f t="shared" si="2"/>
        <v>0</v>
      </c>
      <c r="M21" s="130"/>
      <c r="N21" s="67">
        <f t="shared" si="3"/>
        <v>0</v>
      </c>
      <c r="O21" s="67">
        <f t="shared" si="4"/>
        <v>0</v>
      </c>
      <c r="P21" s="4"/>
    </row>
    <row r="22" spans="2:16">
      <c r="B22" t="str">
        <f t="shared" si="0"/>
        <v/>
      </c>
      <c r="C22" s="62">
        <f>IF(D11="","-",+C21+1)</f>
        <v>2023</v>
      </c>
      <c r="D22" s="71">
        <f>IF(F21+SUM(E$17:E21)=D$10,F21,D$10-SUM(E$17:E21))</f>
        <v>0</v>
      </c>
      <c r="E22" s="69">
        <f t="shared" si="5"/>
        <v>0</v>
      </c>
      <c r="F22" s="68">
        <f t="shared" si="6"/>
        <v>0</v>
      </c>
      <c r="G22" s="70">
        <f t="shared" si="7"/>
        <v>0</v>
      </c>
      <c r="H22" s="52">
        <f t="shared" si="8"/>
        <v>0</v>
      </c>
      <c r="I22" s="65">
        <f t="shared" si="1"/>
        <v>0</v>
      </c>
      <c r="J22" s="65"/>
      <c r="K22" s="130"/>
      <c r="L22" s="67">
        <f t="shared" si="2"/>
        <v>0</v>
      </c>
      <c r="M22" s="130"/>
      <c r="N22" s="67">
        <f t="shared" si="3"/>
        <v>0</v>
      </c>
      <c r="O22" s="67">
        <f t="shared" si="4"/>
        <v>0</v>
      </c>
      <c r="P22" s="4"/>
    </row>
    <row r="23" spans="2:16">
      <c r="B23" t="str">
        <f t="shared" si="0"/>
        <v/>
      </c>
      <c r="C23" s="62">
        <f>IF(D11="","-",+C22+1)</f>
        <v>2024</v>
      </c>
      <c r="D23" s="71">
        <f>IF(F22+SUM(E$17:E22)=D$10,F22,D$10-SUM(E$17:E22))</f>
        <v>0</v>
      </c>
      <c r="E23" s="69">
        <f t="shared" si="5"/>
        <v>0</v>
      </c>
      <c r="F23" s="68">
        <f t="shared" si="6"/>
        <v>0</v>
      </c>
      <c r="G23" s="70">
        <f t="shared" si="7"/>
        <v>0</v>
      </c>
      <c r="H23" s="52">
        <f t="shared" si="8"/>
        <v>0</v>
      </c>
      <c r="I23" s="65">
        <f t="shared" si="1"/>
        <v>0</v>
      </c>
      <c r="J23" s="65"/>
      <c r="K23" s="130"/>
      <c r="L23" s="67">
        <f t="shared" si="2"/>
        <v>0</v>
      </c>
      <c r="M23" s="130"/>
      <c r="N23" s="67">
        <f t="shared" si="3"/>
        <v>0</v>
      </c>
      <c r="O23" s="67">
        <f t="shared" si="4"/>
        <v>0</v>
      </c>
      <c r="P23" s="4"/>
    </row>
    <row r="24" spans="2:16">
      <c r="B24" t="str">
        <f t="shared" si="0"/>
        <v/>
      </c>
      <c r="C24" s="62">
        <f>IF(D11="","-",+C23+1)</f>
        <v>2025</v>
      </c>
      <c r="D24" s="71">
        <f>IF(F23+SUM(E$17:E23)=D$10,F23,D$10-SUM(E$17:E23))</f>
        <v>0</v>
      </c>
      <c r="E24" s="69">
        <f t="shared" si="5"/>
        <v>0</v>
      </c>
      <c r="F24" s="68">
        <f t="shared" si="6"/>
        <v>0</v>
      </c>
      <c r="G24" s="70">
        <f t="shared" si="7"/>
        <v>0</v>
      </c>
      <c r="H24" s="52">
        <f t="shared" si="8"/>
        <v>0</v>
      </c>
      <c r="I24" s="65">
        <f t="shared" si="1"/>
        <v>0</v>
      </c>
      <c r="J24" s="65"/>
      <c r="K24" s="130"/>
      <c r="L24" s="67">
        <f t="shared" si="2"/>
        <v>0</v>
      </c>
      <c r="M24" s="130"/>
      <c r="N24" s="67">
        <f t="shared" si="3"/>
        <v>0</v>
      </c>
      <c r="O24" s="67">
        <f t="shared" si="4"/>
        <v>0</v>
      </c>
      <c r="P24" s="4"/>
    </row>
    <row r="25" spans="2:16">
      <c r="B25" t="str">
        <f t="shared" si="0"/>
        <v/>
      </c>
      <c r="C25" s="62">
        <f>IF(D11="","-",+C24+1)</f>
        <v>2026</v>
      </c>
      <c r="D25" s="71">
        <f>IF(F24+SUM(E$17:E24)=D$10,F24,D$10-SUM(E$17:E24))</f>
        <v>0</v>
      </c>
      <c r="E25" s="69">
        <f t="shared" si="5"/>
        <v>0</v>
      </c>
      <c r="F25" s="68">
        <f t="shared" si="6"/>
        <v>0</v>
      </c>
      <c r="G25" s="70">
        <f t="shared" si="7"/>
        <v>0</v>
      </c>
      <c r="H25" s="52">
        <f t="shared" si="8"/>
        <v>0</v>
      </c>
      <c r="I25" s="65">
        <f t="shared" si="1"/>
        <v>0</v>
      </c>
      <c r="J25" s="65"/>
      <c r="K25" s="130"/>
      <c r="L25" s="67">
        <f t="shared" si="2"/>
        <v>0</v>
      </c>
      <c r="M25" s="130"/>
      <c r="N25" s="67">
        <f t="shared" si="3"/>
        <v>0</v>
      </c>
      <c r="O25" s="67">
        <f t="shared" si="4"/>
        <v>0</v>
      </c>
      <c r="P25" s="4"/>
    </row>
    <row r="26" spans="2:16">
      <c r="B26" t="str">
        <f t="shared" si="0"/>
        <v/>
      </c>
      <c r="C26" s="62">
        <f>IF(D11="","-",+C25+1)</f>
        <v>2027</v>
      </c>
      <c r="D26" s="71">
        <f>IF(F25+SUM(E$17:E25)=D$10,F25,D$10-SUM(E$17:E25))</f>
        <v>0</v>
      </c>
      <c r="E26" s="69">
        <f t="shared" si="5"/>
        <v>0</v>
      </c>
      <c r="F26" s="68">
        <f t="shared" si="6"/>
        <v>0</v>
      </c>
      <c r="G26" s="70">
        <f t="shared" si="7"/>
        <v>0</v>
      </c>
      <c r="H26" s="52">
        <f t="shared" si="8"/>
        <v>0</v>
      </c>
      <c r="I26" s="65">
        <f t="shared" si="1"/>
        <v>0</v>
      </c>
      <c r="J26" s="65"/>
      <c r="K26" s="130"/>
      <c r="L26" s="67">
        <f t="shared" si="2"/>
        <v>0</v>
      </c>
      <c r="M26" s="130"/>
      <c r="N26" s="67">
        <f t="shared" si="3"/>
        <v>0</v>
      </c>
      <c r="O26" s="67">
        <f t="shared" si="4"/>
        <v>0</v>
      </c>
      <c r="P26" s="4"/>
    </row>
    <row r="27" spans="2:16">
      <c r="B27" t="str">
        <f t="shared" si="0"/>
        <v/>
      </c>
      <c r="C27" s="62">
        <f>IF(D11="","-",+C26+1)</f>
        <v>2028</v>
      </c>
      <c r="D27" s="71">
        <f>IF(F26+SUM(E$17:E26)=D$10,F26,D$10-SUM(E$17:E26))</f>
        <v>0</v>
      </c>
      <c r="E27" s="69">
        <f t="shared" si="5"/>
        <v>0</v>
      </c>
      <c r="F27" s="68">
        <f t="shared" si="6"/>
        <v>0</v>
      </c>
      <c r="G27" s="70">
        <f t="shared" si="7"/>
        <v>0</v>
      </c>
      <c r="H27" s="52">
        <f t="shared" si="8"/>
        <v>0</v>
      </c>
      <c r="I27" s="65">
        <f t="shared" si="1"/>
        <v>0</v>
      </c>
      <c r="J27" s="65"/>
      <c r="K27" s="130"/>
      <c r="L27" s="67">
        <f t="shared" si="2"/>
        <v>0</v>
      </c>
      <c r="M27" s="130"/>
      <c r="N27" s="67">
        <f t="shared" si="3"/>
        <v>0</v>
      </c>
      <c r="O27" s="67">
        <f t="shared" si="4"/>
        <v>0</v>
      </c>
      <c r="P27" s="4"/>
    </row>
    <row r="28" spans="2:16">
      <c r="B28" t="str">
        <f t="shared" si="0"/>
        <v/>
      </c>
      <c r="C28" s="62">
        <f>IF(D11="","-",+C27+1)</f>
        <v>2029</v>
      </c>
      <c r="D28" s="71">
        <f>IF(F27+SUM(E$17:E27)=D$10,F27,D$10-SUM(E$17:E27))</f>
        <v>0</v>
      </c>
      <c r="E28" s="69">
        <f t="shared" si="5"/>
        <v>0</v>
      </c>
      <c r="F28" s="68">
        <f t="shared" si="6"/>
        <v>0</v>
      </c>
      <c r="G28" s="70">
        <f t="shared" si="7"/>
        <v>0</v>
      </c>
      <c r="H28" s="52">
        <f t="shared" si="8"/>
        <v>0</v>
      </c>
      <c r="I28" s="65">
        <f t="shared" si="1"/>
        <v>0</v>
      </c>
      <c r="J28" s="65"/>
      <c r="K28" s="130"/>
      <c r="L28" s="67">
        <f t="shared" si="2"/>
        <v>0</v>
      </c>
      <c r="M28" s="130"/>
      <c r="N28" s="67">
        <f t="shared" si="3"/>
        <v>0</v>
      </c>
      <c r="O28" s="67">
        <f t="shared" si="4"/>
        <v>0</v>
      </c>
      <c r="P28" s="4"/>
    </row>
    <row r="29" spans="2:16">
      <c r="B29" t="str">
        <f t="shared" si="0"/>
        <v/>
      </c>
      <c r="C29" s="62">
        <f>IF(D11="","-",+C28+1)</f>
        <v>2030</v>
      </c>
      <c r="D29" s="71">
        <f>IF(F28+SUM(E$17:E28)=D$10,F28,D$10-SUM(E$17:E28))</f>
        <v>0</v>
      </c>
      <c r="E29" s="69">
        <f t="shared" si="5"/>
        <v>0</v>
      </c>
      <c r="F29" s="68">
        <f t="shared" si="6"/>
        <v>0</v>
      </c>
      <c r="G29" s="70">
        <f t="shared" si="7"/>
        <v>0</v>
      </c>
      <c r="H29" s="52">
        <f t="shared" si="8"/>
        <v>0</v>
      </c>
      <c r="I29" s="65">
        <f t="shared" si="1"/>
        <v>0</v>
      </c>
      <c r="J29" s="65"/>
      <c r="K29" s="130"/>
      <c r="L29" s="67">
        <f t="shared" si="2"/>
        <v>0</v>
      </c>
      <c r="M29" s="130"/>
      <c r="N29" s="67">
        <f t="shared" si="3"/>
        <v>0</v>
      </c>
      <c r="O29" s="67">
        <f t="shared" si="4"/>
        <v>0</v>
      </c>
      <c r="P29" s="4"/>
    </row>
    <row r="30" spans="2:16">
      <c r="B30" t="str">
        <f t="shared" si="0"/>
        <v/>
      </c>
      <c r="C30" s="62">
        <f>IF(D11="","-",+C29+1)</f>
        <v>2031</v>
      </c>
      <c r="D30" s="71">
        <f>IF(F29+SUM(E$17:E29)=D$10,F29,D$10-SUM(E$17:E29))</f>
        <v>0</v>
      </c>
      <c r="E30" s="69">
        <f t="shared" si="5"/>
        <v>0</v>
      </c>
      <c r="F30" s="68">
        <f t="shared" si="6"/>
        <v>0</v>
      </c>
      <c r="G30" s="70">
        <f t="shared" si="7"/>
        <v>0</v>
      </c>
      <c r="H30" s="52">
        <f t="shared" si="8"/>
        <v>0</v>
      </c>
      <c r="I30" s="65">
        <f t="shared" si="1"/>
        <v>0</v>
      </c>
      <c r="J30" s="65"/>
      <c r="K30" s="130"/>
      <c r="L30" s="67">
        <f t="shared" si="2"/>
        <v>0</v>
      </c>
      <c r="M30" s="130"/>
      <c r="N30" s="67">
        <f t="shared" si="3"/>
        <v>0</v>
      </c>
      <c r="O30" s="67">
        <f t="shared" si="4"/>
        <v>0</v>
      </c>
      <c r="P30" s="4"/>
    </row>
    <row r="31" spans="2:16">
      <c r="B31" t="str">
        <f t="shared" si="0"/>
        <v/>
      </c>
      <c r="C31" s="62">
        <f>IF(D11="","-",+C30+1)</f>
        <v>2032</v>
      </c>
      <c r="D31" s="71">
        <f>IF(F30+SUM(E$17:E30)=D$10,F30,D$10-SUM(E$17:E30))</f>
        <v>0</v>
      </c>
      <c r="E31" s="69">
        <f t="shared" si="5"/>
        <v>0</v>
      </c>
      <c r="F31" s="68">
        <f t="shared" si="6"/>
        <v>0</v>
      </c>
      <c r="G31" s="70">
        <f t="shared" si="7"/>
        <v>0</v>
      </c>
      <c r="H31" s="52">
        <f t="shared" si="8"/>
        <v>0</v>
      </c>
      <c r="I31" s="65">
        <f t="shared" si="1"/>
        <v>0</v>
      </c>
      <c r="J31" s="65"/>
      <c r="K31" s="130"/>
      <c r="L31" s="67">
        <f t="shared" si="2"/>
        <v>0</v>
      </c>
      <c r="M31" s="130"/>
      <c r="N31" s="67">
        <f t="shared" si="3"/>
        <v>0</v>
      </c>
      <c r="O31" s="67">
        <f t="shared" si="4"/>
        <v>0</v>
      </c>
      <c r="P31" s="4"/>
    </row>
    <row r="32" spans="2:16">
      <c r="B32" t="str">
        <f t="shared" si="0"/>
        <v/>
      </c>
      <c r="C32" s="62">
        <f>IF(D11="","-",+C31+1)</f>
        <v>2033</v>
      </c>
      <c r="D32" s="71">
        <f>IF(F31+SUM(E$17:E31)=D$10,F31,D$10-SUM(E$17:E31))</f>
        <v>0</v>
      </c>
      <c r="E32" s="69">
        <f t="shared" si="5"/>
        <v>0</v>
      </c>
      <c r="F32" s="68">
        <f t="shared" si="6"/>
        <v>0</v>
      </c>
      <c r="G32" s="70">
        <f t="shared" si="7"/>
        <v>0</v>
      </c>
      <c r="H32" s="52">
        <f t="shared" si="8"/>
        <v>0</v>
      </c>
      <c r="I32" s="65">
        <f t="shared" si="1"/>
        <v>0</v>
      </c>
      <c r="J32" s="65"/>
      <c r="K32" s="130"/>
      <c r="L32" s="67">
        <f t="shared" si="2"/>
        <v>0</v>
      </c>
      <c r="M32" s="130"/>
      <c r="N32" s="67">
        <f t="shared" si="3"/>
        <v>0</v>
      </c>
      <c r="O32" s="67">
        <f t="shared" si="4"/>
        <v>0</v>
      </c>
      <c r="P32" s="4"/>
    </row>
    <row r="33" spans="2:16">
      <c r="B33" t="str">
        <f t="shared" si="0"/>
        <v/>
      </c>
      <c r="C33" s="62">
        <f>IF(D11="","-",+C32+1)</f>
        <v>2034</v>
      </c>
      <c r="D33" s="71">
        <f>IF(F32+SUM(E$17:E32)=D$10,F32,D$10-SUM(E$17:E32))</f>
        <v>0</v>
      </c>
      <c r="E33" s="69">
        <f t="shared" si="5"/>
        <v>0</v>
      </c>
      <c r="F33" s="68">
        <f t="shared" si="6"/>
        <v>0</v>
      </c>
      <c r="G33" s="70">
        <f t="shared" si="7"/>
        <v>0</v>
      </c>
      <c r="H33" s="52">
        <f t="shared" si="8"/>
        <v>0</v>
      </c>
      <c r="I33" s="65">
        <f t="shared" si="1"/>
        <v>0</v>
      </c>
      <c r="J33" s="65"/>
      <c r="K33" s="130"/>
      <c r="L33" s="67">
        <f t="shared" si="2"/>
        <v>0</v>
      </c>
      <c r="M33" s="130"/>
      <c r="N33" s="67">
        <f t="shared" si="3"/>
        <v>0</v>
      </c>
      <c r="O33" s="67">
        <f t="shared" si="4"/>
        <v>0</v>
      </c>
      <c r="P33" s="4"/>
    </row>
    <row r="34" spans="2:16">
      <c r="B34" t="str">
        <f t="shared" si="0"/>
        <v/>
      </c>
      <c r="C34" s="62">
        <f>IF(D11="","-",+C33+1)</f>
        <v>2035</v>
      </c>
      <c r="D34" s="71">
        <f>IF(F33+SUM(E$17:E33)=D$10,F33,D$10-SUM(E$17:E33))</f>
        <v>0</v>
      </c>
      <c r="E34" s="69">
        <f t="shared" si="5"/>
        <v>0</v>
      </c>
      <c r="F34" s="68">
        <f t="shared" si="6"/>
        <v>0</v>
      </c>
      <c r="G34" s="70">
        <f t="shared" si="7"/>
        <v>0</v>
      </c>
      <c r="H34" s="52">
        <f t="shared" si="8"/>
        <v>0</v>
      </c>
      <c r="I34" s="65">
        <f t="shared" si="1"/>
        <v>0</v>
      </c>
      <c r="J34" s="65"/>
      <c r="K34" s="130"/>
      <c r="L34" s="67">
        <f t="shared" si="2"/>
        <v>0</v>
      </c>
      <c r="M34" s="130"/>
      <c r="N34" s="67">
        <f t="shared" si="3"/>
        <v>0</v>
      </c>
      <c r="O34" s="67">
        <f t="shared" si="4"/>
        <v>0</v>
      </c>
      <c r="P34" s="4"/>
    </row>
    <row r="35" spans="2:16">
      <c r="B35" t="str">
        <f t="shared" si="0"/>
        <v/>
      </c>
      <c r="C35" s="62">
        <f>IF(D11="","-",+C34+1)</f>
        <v>2036</v>
      </c>
      <c r="D35" s="71">
        <f>IF(F34+SUM(E$17:E34)=D$10,F34,D$10-SUM(E$17:E34))</f>
        <v>0</v>
      </c>
      <c r="E35" s="69">
        <f t="shared" si="5"/>
        <v>0</v>
      </c>
      <c r="F35" s="68">
        <f t="shared" si="6"/>
        <v>0</v>
      </c>
      <c r="G35" s="70">
        <f t="shared" si="7"/>
        <v>0</v>
      </c>
      <c r="H35" s="52">
        <f t="shared" si="8"/>
        <v>0</v>
      </c>
      <c r="I35" s="65">
        <f t="shared" si="1"/>
        <v>0</v>
      </c>
      <c r="J35" s="65"/>
      <c r="K35" s="130"/>
      <c r="L35" s="67">
        <f t="shared" si="2"/>
        <v>0</v>
      </c>
      <c r="M35" s="130"/>
      <c r="N35" s="67">
        <f t="shared" si="3"/>
        <v>0</v>
      </c>
      <c r="O35" s="67">
        <f t="shared" si="4"/>
        <v>0</v>
      </c>
      <c r="P35" s="4"/>
    </row>
    <row r="36" spans="2:16">
      <c r="B36" t="str">
        <f t="shared" si="0"/>
        <v/>
      </c>
      <c r="C36" s="62">
        <f>IF(D11="","-",+C35+1)</f>
        <v>2037</v>
      </c>
      <c r="D36" s="71">
        <f>IF(F35+SUM(E$17:E35)=D$10,F35,D$10-SUM(E$17:E35))</f>
        <v>0</v>
      </c>
      <c r="E36" s="69">
        <f t="shared" si="5"/>
        <v>0</v>
      </c>
      <c r="F36" s="68">
        <f t="shared" si="6"/>
        <v>0</v>
      </c>
      <c r="G36" s="70">
        <f t="shared" si="7"/>
        <v>0</v>
      </c>
      <c r="H36" s="52">
        <f t="shared" si="8"/>
        <v>0</v>
      </c>
      <c r="I36" s="65">
        <f t="shared" si="1"/>
        <v>0</v>
      </c>
      <c r="J36" s="65"/>
      <c r="K36" s="130"/>
      <c r="L36" s="67">
        <f t="shared" si="2"/>
        <v>0</v>
      </c>
      <c r="M36" s="130"/>
      <c r="N36" s="67">
        <f t="shared" si="3"/>
        <v>0</v>
      </c>
      <c r="O36" s="67">
        <f t="shared" si="4"/>
        <v>0</v>
      </c>
      <c r="P36" s="4"/>
    </row>
    <row r="37" spans="2:16">
      <c r="B37" t="str">
        <f t="shared" si="0"/>
        <v/>
      </c>
      <c r="C37" s="62">
        <f>IF(D11="","-",+C36+1)</f>
        <v>2038</v>
      </c>
      <c r="D37" s="71">
        <f>IF(F36+SUM(E$17:E36)=D$10,F36,D$10-SUM(E$17:E36))</f>
        <v>0</v>
      </c>
      <c r="E37" s="69">
        <f t="shared" si="5"/>
        <v>0</v>
      </c>
      <c r="F37" s="68">
        <f t="shared" si="6"/>
        <v>0</v>
      </c>
      <c r="G37" s="70">
        <f t="shared" si="7"/>
        <v>0</v>
      </c>
      <c r="H37" s="52">
        <f t="shared" si="8"/>
        <v>0</v>
      </c>
      <c r="I37" s="65">
        <f t="shared" si="1"/>
        <v>0</v>
      </c>
      <c r="J37" s="65"/>
      <c r="K37" s="130"/>
      <c r="L37" s="67">
        <f t="shared" si="2"/>
        <v>0</v>
      </c>
      <c r="M37" s="130"/>
      <c r="N37" s="67">
        <f t="shared" si="3"/>
        <v>0</v>
      </c>
      <c r="O37" s="67">
        <f t="shared" si="4"/>
        <v>0</v>
      </c>
      <c r="P37" s="4"/>
    </row>
    <row r="38" spans="2:16">
      <c r="B38" t="str">
        <f t="shared" si="0"/>
        <v/>
      </c>
      <c r="C38" s="62">
        <f>IF(D11="","-",+C37+1)</f>
        <v>2039</v>
      </c>
      <c r="D38" s="71">
        <f>IF(F37+SUM(E$17:E37)=D$10,F37,D$10-SUM(E$17:E37))</f>
        <v>0</v>
      </c>
      <c r="E38" s="69">
        <f t="shared" si="5"/>
        <v>0</v>
      </c>
      <c r="F38" s="68">
        <f t="shared" si="6"/>
        <v>0</v>
      </c>
      <c r="G38" s="70">
        <f t="shared" si="7"/>
        <v>0</v>
      </c>
      <c r="H38" s="52">
        <f t="shared" si="8"/>
        <v>0</v>
      </c>
      <c r="I38" s="65">
        <f t="shared" si="1"/>
        <v>0</v>
      </c>
      <c r="J38" s="65"/>
      <c r="K38" s="130"/>
      <c r="L38" s="67">
        <f t="shared" si="2"/>
        <v>0</v>
      </c>
      <c r="M38" s="130"/>
      <c r="N38" s="67">
        <f t="shared" si="3"/>
        <v>0</v>
      </c>
      <c r="O38" s="67">
        <f t="shared" si="4"/>
        <v>0</v>
      </c>
      <c r="P38" s="4"/>
    </row>
    <row r="39" spans="2:16">
      <c r="B39" t="str">
        <f t="shared" si="0"/>
        <v/>
      </c>
      <c r="C39" s="62">
        <f>IF(D11="","-",+C38+1)</f>
        <v>2040</v>
      </c>
      <c r="D39" s="71">
        <f>IF(F38+SUM(E$17:E38)=D$10,F38,D$10-SUM(E$17:E38))</f>
        <v>0</v>
      </c>
      <c r="E39" s="69">
        <f t="shared" si="5"/>
        <v>0</v>
      </c>
      <c r="F39" s="68">
        <f t="shared" si="6"/>
        <v>0</v>
      </c>
      <c r="G39" s="70">
        <f t="shared" si="7"/>
        <v>0</v>
      </c>
      <c r="H39" s="52">
        <f t="shared" si="8"/>
        <v>0</v>
      </c>
      <c r="I39" s="65">
        <f t="shared" si="1"/>
        <v>0</v>
      </c>
      <c r="J39" s="65"/>
      <c r="K39" s="130"/>
      <c r="L39" s="67">
        <f t="shared" si="2"/>
        <v>0</v>
      </c>
      <c r="M39" s="130"/>
      <c r="N39" s="67">
        <f t="shared" si="3"/>
        <v>0</v>
      </c>
      <c r="O39" s="67">
        <f t="shared" si="4"/>
        <v>0</v>
      </c>
      <c r="P39" s="4"/>
    </row>
    <row r="40" spans="2:16">
      <c r="B40" t="str">
        <f t="shared" si="0"/>
        <v/>
      </c>
      <c r="C40" s="62">
        <f>IF(D11="","-",+C39+1)</f>
        <v>2041</v>
      </c>
      <c r="D40" s="71">
        <f>IF(F39+SUM(E$17:E39)=D$10,F39,D$10-SUM(E$17:E39))</f>
        <v>0</v>
      </c>
      <c r="E40" s="69">
        <f t="shared" si="5"/>
        <v>0</v>
      </c>
      <c r="F40" s="68">
        <f t="shared" si="6"/>
        <v>0</v>
      </c>
      <c r="G40" s="70">
        <f t="shared" si="7"/>
        <v>0</v>
      </c>
      <c r="H40" s="52">
        <f t="shared" si="8"/>
        <v>0</v>
      </c>
      <c r="I40" s="65">
        <f t="shared" si="1"/>
        <v>0</v>
      </c>
      <c r="J40" s="65"/>
      <c r="K40" s="130"/>
      <c r="L40" s="67">
        <f t="shared" si="2"/>
        <v>0</v>
      </c>
      <c r="M40" s="130"/>
      <c r="N40" s="67">
        <f t="shared" si="3"/>
        <v>0</v>
      </c>
      <c r="O40" s="67">
        <f t="shared" si="4"/>
        <v>0</v>
      </c>
      <c r="P40" s="4"/>
    </row>
    <row r="41" spans="2:16">
      <c r="B41" t="str">
        <f t="shared" si="0"/>
        <v/>
      </c>
      <c r="C41" s="62">
        <f>IF(D11="","-",+C40+1)</f>
        <v>2042</v>
      </c>
      <c r="D41" s="71">
        <f>IF(F40+SUM(E$17:E40)=D$10,F40,D$10-SUM(E$17:E40))</f>
        <v>0</v>
      </c>
      <c r="E41" s="69">
        <f t="shared" si="5"/>
        <v>0</v>
      </c>
      <c r="F41" s="68">
        <f t="shared" si="6"/>
        <v>0</v>
      </c>
      <c r="G41" s="70">
        <f t="shared" si="7"/>
        <v>0</v>
      </c>
      <c r="H41" s="52">
        <f t="shared" si="8"/>
        <v>0</v>
      </c>
      <c r="I41" s="65">
        <f t="shared" si="1"/>
        <v>0</v>
      </c>
      <c r="J41" s="65"/>
      <c r="K41" s="130"/>
      <c r="L41" s="67">
        <f t="shared" si="2"/>
        <v>0</v>
      </c>
      <c r="M41" s="130"/>
      <c r="N41" s="67">
        <f t="shared" si="3"/>
        <v>0</v>
      </c>
      <c r="O41" s="67">
        <f t="shared" si="4"/>
        <v>0</v>
      </c>
      <c r="P41" s="4"/>
    </row>
    <row r="42" spans="2:16">
      <c r="B42" t="str">
        <f t="shared" si="0"/>
        <v/>
      </c>
      <c r="C42" s="62">
        <f>IF(D11="","-",+C41+1)</f>
        <v>2043</v>
      </c>
      <c r="D42" s="71">
        <f>IF(F41+SUM(E$17:E41)=D$10,F41,D$10-SUM(E$17:E41))</f>
        <v>0</v>
      </c>
      <c r="E42" s="69">
        <f t="shared" si="5"/>
        <v>0</v>
      </c>
      <c r="F42" s="68">
        <f t="shared" si="6"/>
        <v>0</v>
      </c>
      <c r="G42" s="70">
        <f t="shared" si="7"/>
        <v>0</v>
      </c>
      <c r="H42" s="52">
        <f t="shared" si="8"/>
        <v>0</v>
      </c>
      <c r="I42" s="65">
        <f t="shared" si="1"/>
        <v>0</v>
      </c>
      <c r="J42" s="65"/>
      <c r="K42" s="130"/>
      <c r="L42" s="67">
        <f t="shared" si="2"/>
        <v>0</v>
      </c>
      <c r="M42" s="130"/>
      <c r="N42" s="67">
        <f t="shared" si="3"/>
        <v>0</v>
      </c>
      <c r="O42" s="67">
        <f t="shared" si="4"/>
        <v>0</v>
      </c>
      <c r="P42" s="4"/>
    </row>
    <row r="43" spans="2:16">
      <c r="B43" t="str">
        <f t="shared" si="0"/>
        <v/>
      </c>
      <c r="C43" s="62">
        <f>IF(D11="","-",+C42+1)</f>
        <v>2044</v>
      </c>
      <c r="D43" s="71">
        <f>IF(F42+SUM(E$17:E42)=D$10,F42,D$10-SUM(E$17:E42))</f>
        <v>0</v>
      </c>
      <c r="E43" s="69">
        <f t="shared" si="5"/>
        <v>0</v>
      </c>
      <c r="F43" s="68">
        <f t="shared" si="6"/>
        <v>0</v>
      </c>
      <c r="G43" s="70">
        <f t="shared" si="7"/>
        <v>0</v>
      </c>
      <c r="H43" s="52">
        <f t="shared" si="8"/>
        <v>0</v>
      </c>
      <c r="I43" s="65">
        <f t="shared" si="1"/>
        <v>0</v>
      </c>
      <c r="J43" s="65"/>
      <c r="K43" s="130"/>
      <c r="L43" s="67">
        <f t="shared" si="2"/>
        <v>0</v>
      </c>
      <c r="M43" s="130"/>
      <c r="N43" s="67">
        <f t="shared" si="3"/>
        <v>0</v>
      </c>
      <c r="O43" s="67">
        <f t="shared" si="4"/>
        <v>0</v>
      </c>
      <c r="P43" s="4"/>
    </row>
    <row r="44" spans="2:16">
      <c r="B44" t="str">
        <f t="shared" si="0"/>
        <v/>
      </c>
      <c r="C44" s="62">
        <f>IF(D11="","-",+C43+1)</f>
        <v>2045</v>
      </c>
      <c r="D44" s="71">
        <f>IF(F43+SUM(E$17:E43)=D$10,F43,D$10-SUM(E$17:E43))</f>
        <v>0</v>
      </c>
      <c r="E44" s="69">
        <f t="shared" si="5"/>
        <v>0</v>
      </c>
      <c r="F44" s="68">
        <f t="shared" si="6"/>
        <v>0</v>
      </c>
      <c r="G44" s="70">
        <f t="shared" si="7"/>
        <v>0</v>
      </c>
      <c r="H44" s="52">
        <f t="shared" si="8"/>
        <v>0</v>
      </c>
      <c r="I44" s="65">
        <f t="shared" si="1"/>
        <v>0</v>
      </c>
      <c r="J44" s="65"/>
      <c r="K44" s="130"/>
      <c r="L44" s="67">
        <f t="shared" si="2"/>
        <v>0</v>
      </c>
      <c r="M44" s="130"/>
      <c r="N44" s="67">
        <f t="shared" si="3"/>
        <v>0</v>
      </c>
      <c r="O44" s="67">
        <f t="shared" si="4"/>
        <v>0</v>
      </c>
      <c r="P44" s="4"/>
    </row>
    <row r="45" spans="2:16">
      <c r="B45" t="str">
        <f t="shared" si="0"/>
        <v/>
      </c>
      <c r="C45" s="62">
        <f>IF(D11="","-",+C44+1)</f>
        <v>2046</v>
      </c>
      <c r="D45" s="71">
        <f>IF(F44+SUM(E$17:E44)=D$10,F44,D$10-SUM(E$17:E44))</f>
        <v>0</v>
      </c>
      <c r="E45" s="69">
        <f t="shared" si="5"/>
        <v>0</v>
      </c>
      <c r="F45" s="68">
        <f t="shared" si="6"/>
        <v>0</v>
      </c>
      <c r="G45" s="70">
        <f t="shared" si="7"/>
        <v>0</v>
      </c>
      <c r="H45" s="52">
        <f t="shared" si="8"/>
        <v>0</v>
      </c>
      <c r="I45" s="65">
        <f t="shared" si="1"/>
        <v>0</v>
      </c>
      <c r="J45" s="65"/>
      <c r="K45" s="130"/>
      <c r="L45" s="67">
        <f t="shared" si="2"/>
        <v>0</v>
      </c>
      <c r="M45" s="130"/>
      <c r="N45" s="67">
        <f t="shared" si="3"/>
        <v>0</v>
      </c>
      <c r="O45" s="67">
        <f t="shared" si="4"/>
        <v>0</v>
      </c>
      <c r="P45" s="4"/>
    </row>
    <row r="46" spans="2:16">
      <c r="B46" t="str">
        <f t="shared" si="0"/>
        <v/>
      </c>
      <c r="C46" s="62">
        <f>IF(D11="","-",+C45+1)</f>
        <v>2047</v>
      </c>
      <c r="D46" s="71">
        <f>IF(F45+SUM(E$17:E45)=D$10,F45,D$10-SUM(E$17:E45))</f>
        <v>0</v>
      </c>
      <c r="E46" s="69">
        <f t="shared" si="5"/>
        <v>0</v>
      </c>
      <c r="F46" s="68">
        <f t="shared" si="6"/>
        <v>0</v>
      </c>
      <c r="G46" s="70">
        <f t="shared" si="7"/>
        <v>0</v>
      </c>
      <c r="H46" s="52">
        <f t="shared" si="8"/>
        <v>0</v>
      </c>
      <c r="I46" s="65">
        <f t="shared" si="1"/>
        <v>0</v>
      </c>
      <c r="J46" s="65"/>
      <c r="K46" s="130"/>
      <c r="L46" s="67">
        <f t="shared" si="2"/>
        <v>0</v>
      </c>
      <c r="M46" s="130"/>
      <c r="N46" s="67">
        <f t="shared" si="3"/>
        <v>0</v>
      </c>
      <c r="O46" s="67">
        <f t="shared" si="4"/>
        <v>0</v>
      </c>
      <c r="P46" s="4"/>
    </row>
    <row r="47" spans="2:16">
      <c r="B47" t="str">
        <f t="shared" si="0"/>
        <v/>
      </c>
      <c r="C47" s="62">
        <f>IF(D11="","-",+C46+1)</f>
        <v>2048</v>
      </c>
      <c r="D47" s="71">
        <f>IF(F46+SUM(E$17:E46)=D$10,F46,D$10-SUM(E$17:E46))</f>
        <v>0</v>
      </c>
      <c r="E47" s="69">
        <f t="shared" si="5"/>
        <v>0</v>
      </c>
      <c r="F47" s="68">
        <f t="shared" si="6"/>
        <v>0</v>
      </c>
      <c r="G47" s="70">
        <f t="shared" si="7"/>
        <v>0</v>
      </c>
      <c r="H47" s="52">
        <f t="shared" si="8"/>
        <v>0</v>
      </c>
      <c r="I47" s="65">
        <f t="shared" si="1"/>
        <v>0</v>
      </c>
      <c r="J47" s="65"/>
      <c r="K47" s="130"/>
      <c r="L47" s="67">
        <f t="shared" si="2"/>
        <v>0</v>
      </c>
      <c r="M47" s="130"/>
      <c r="N47" s="67">
        <f t="shared" si="3"/>
        <v>0</v>
      </c>
      <c r="O47" s="67">
        <f t="shared" si="4"/>
        <v>0</v>
      </c>
      <c r="P47" s="4"/>
    </row>
    <row r="48" spans="2:16">
      <c r="B48" t="str">
        <f t="shared" si="0"/>
        <v/>
      </c>
      <c r="C48" s="62">
        <f>IF(D11="","-",+C47+1)</f>
        <v>2049</v>
      </c>
      <c r="D48" s="71">
        <f>IF(F47+SUM(E$17:E47)=D$10,F47,D$10-SUM(E$17:E47))</f>
        <v>0</v>
      </c>
      <c r="E48" s="69">
        <f t="shared" si="5"/>
        <v>0</v>
      </c>
      <c r="F48" s="68">
        <f t="shared" si="6"/>
        <v>0</v>
      </c>
      <c r="G48" s="70">
        <f t="shared" si="7"/>
        <v>0</v>
      </c>
      <c r="H48" s="52">
        <f t="shared" si="8"/>
        <v>0</v>
      </c>
      <c r="I48" s="65">
        <f t="shared" si="1"/>
        <v>0</v>
      </c>
      <c r="J48" s="65"/>
      <c r="K48" s="130"/>
      <c r="L48" s="67">
        <f t="shared" si="2"/>
        <v>0</v>
      </c>
      <c r="M48" s="130"/>
      <c r="N48" s="67">
        <f t="shared" si="3"/>
        <v>0</v>
      </c>
      <c r="O48" s="67">
        <f t="shared" si="4"/>
        <v>0</v>
      </c>
      <c r="P48" s="4"/>
    </row>
    <row r="49" spans="2:16">
      <c r="B49" t="str">
        <f t="shared" si="0"/>
        <v/>
      </c>
      <c r="C49" s="62">
        <f>IF(D11="","-",+C48+1)</f>
        <v>2050</v>
      </c>
      <c r="D49" s="71">
        <f>IF(F48+SUM(E$17:E48)=D$10,F48,D$10-SUM(E$17:E48))</f>
        <v>0</v>
      </c>
      <c r="E49" s="69">
        <f t="shared" si="5"/>
        <v>0</v>
      </c>
      <c r="F49" s="68">
        <f t="shared" ref="F49:F71" si="9">+D49-E49</f>
        <v>0</v>
      </c>
      <c r="G49" s="70">
        <f t="shared" si="7"/>
        <v>0</v>
      </c>
      <c r="H49" s="52">
        <f t="shared" si="8"/>
        <v>0</v>
      </c>
      <c r="I49" s="65">
        <f t="shared" ref="I49:I71" si="10">H49-G49</f>
        <v>0</v>
      </c>
      <c r="J49" s="65"/>
      <c r="K49" s="130"/>
      <c r="L49" s="67">
        <f t="shared" ref="L49:L71" si="11">IF(K49&lt;&gt;0,+G49-K49,0)</f>
        <v>0</v>
      </c>
      <c r="M49" s="130"/>
      <c r="N49" s="67">
        <f t="shared" ref="N49:N71" si="12">IF(M49&lt;&gt;0,+H49-M49,0)</f>
        <v>0</v>
      </c>
      <c r="O49" s="67">
        <f t="shared" ref="O49:O71" si="13">+N49-L49</f>
        <v>0</v>
      </c>
      <c r="P49" s="4"/>
    </row>
    <row r="50" spans="2:16">
      <c r="B50" t="str">
        <f t="shared" si="0"/>
        <v/>
      </c>
      <c r="C50" s="62">
        <f>IF(D11="","-",+C49+1)</f>
        <v>2051</v>
      </c>
      <c r="D50" s="71">
        <f>IF(F49+SUM(E$17:E49)=D$10,F49,D$10-SUM(E$17:E49))</f>
        <v>0</v>
      </c>
      <c r="E50" s="69">
        <f t="shared" ref="E50:E71" si="14">IF(+I$14&lt;F49,I$14,D50)</f>
        <v>0</v>
      </c>
      <c r="F50" s="68">
        <f t="shared" si="9"/>
        <v>0</v>
      </c>
      <c r="G50" s="70">
        <f t="shared" si="7"/>
        <v>0</v>
      </c>
      <c r="H50" s="52">
        <f t="shared" si="8"/>
        <v>0</v>
      </c>
      <c r="I50" s="65">
        <f t="shared" si="10"/>
        <v>0</v>
      </c>
      <c r="J50" s="65"/>
      <c r="K50" s="130"/>
      <c r="L50" s="67">
        <f t="shared" si="11"/>
        <v>0</v>
      </c>
      <c r="M50" s="130"/>
      <c r="N50" s="67">
        <f t="shared" si="12"/>
        <v>0</v>
      </c>
      <c r="O50" s="67">
        <f t="shared" si="13"/>
        <v>0</v>
      </c>
      <c r="P50" s="4"/>
    </row>
    <row r="51" spans="2:16">
      <c r="B51" t="str">
        <f t="shared" si="0"/>
        <v/>
      </c>
      <c r="C51" s="62">
        <f>IF(D11="","-",+C50+1)</f>
        <v>2052</v>
      </c>
      <c r="D51" s="71">
        <f>IF(F50+SUM(E$17:E50)=D$10,F50,D$10-SUM(E$17:E50))</f>
        <v>0</v>
      </c>
      <c r="E51" s="69">
        <f t="shared" si="14"/>
        <v>0</v>
      </c>
      <c r="F51" s="68">
        <f t="shared" si="9"/>
        <v>0</v>
      </c>
      <c r="G51" s="70">
        <f t="shared" si="7"/>
        <v>0</v>
      </c>
      <c r="H51" s="52">
        <f t="shared" si="8"/>
        <v>0</v>
      </c>
      <c r="I51" s="65">
        <f t="shared" si="10"/>
        <v>0</v>
      </c>
      <c r="J51" s="65"/>
      <c r="K51" s="130"/>
      <c r="L51" s="67">
        <f t="shared" si="11"/>
        <v>0</v>
      </c>
      <c r="M51" s="130"/>
      <c r="N51" s="67">
        <f t="shared" si="12"/>
        <v>0</v>
      </c>
      <c r="O51" s="67">
        <f t="shared" si="13"/>
        <v>0</v>
      </c>
      <c r="P51" s="4"/>
    </row>
    <row r="52" spans="2:16">
      <c r="B52" t="str">
        <f t="shared" si="0"/>
        <v/>
      </c>
      <c r="C52" s="62">
        <f>IF(D11="","-",+C51+1)</f>
        <v>2053</v>
      </c>
      <c r="D52" s="71">
        <f>IF(F51+SUM(E$17:E51)=D$10,F51,D$10-SUM(E$17:E51))</f>
        <v>0</v>
      </c>
      <c r="E52" s="69">
        <f t="shared" si="14"/>
        <v>0</v>
      </c>
      <c r="F52" s="68">
        <f t="shared" si="9"/>
        <v>0</v>
      </c>
      <c r="G52" s="70">
        <f t="shared" si="7"/>
        <v>0</v>
      </c>
      <c r="H52" s="52">
        <f t="shared" si="8"/>
        <v>0</v>
      </c>
      <c r="I52" s="65">
        <f t="shared" si="10"/>
        <v>0</v>
      </c>
      <c r="J52" s="65"/>
      <c r="K52" s="130"/>
      <c r="L52" s="67">
        <f t="shared" si="11"/>
        <v>0</v>
      </c>
      <c r="M52" s="130"/>
      <c r="N52" s="67">
        <f t="shared" si="12"/>
        <v>0</v>
      </c>
      <c r="O52" s="67">
        <f t="shared" si="13"/>
        <v>0</v>
      </c>
      <c r="P52" s="4"/>
    </row>
    <row r="53" spans="2:16">
      <c r="B53" t="str">
        <f t="shared" si="0"/>
        <v/>
      </c>
      <c r="C53" s="62">
        <f>IF(D11="","-",+C52+1)</f>
        <v>2054</v>
      </c>
      <c r="D53" s="71">
        <f>IF(F52+SUM(E$17:E52)=D$10,F52,D$10-SUM(E$17:E52))</f>
        <v>0</v>
      </c>
      <c r="E53" s="69">
        <f t="shared" si="14"/>
        <v>0</v>
      </c>
      <c r="F53" s="68">
        <f t="shared" si="9"/>
        <v>0</v>
      </c>
      <c r="G53" s="70">
        <f t="shared" si="7"/>
        <v>0</v>
      </c>
      <c r="H53" s="52">
        <f t="shared" si="8"/>
        <v>0</v>
      </c>
      <c r="I53" s="65">
        <f t="shared" si="10"/>
        <v>0</v>
      </c>
      <c r="J53" s="65"/>
      <c r="K53" s="130"/>
      <c r="L53" s="67">
        <f t="shared" si="11"/>
        <v>0</v>
      </c>
      <c r="M53" s="130"/>
      <c r="N53" s="67">
        <f t="shared" si="12"/>
        <v>0</v>
      </c>
      <c r="O53" s="67">
        <f t="shared" si="13"/>
        <v>0</v>
      </c>
      <c r="P53" s="4"/>
    </row>
    <row r="54" spans="2:16">
      <c r="B54" t="str">
        <f t="shared" si="0"/>
        <v/>
      </c>
      <c r="C54" s="62">
        <f>IF(D11="","-",+C53+1)</f>
        <v>2055</v>
      </c>
      <c r="D54" s="71">
        <f>IF(F53+SUM(E$17:E53)=D$10,F53,D$10-SUM(E$17:E53))</f>
        <v>0</v>
      </c>
      <c r="E54" s="69">
        <f t="shared" si="14"/>
        <v>0</v>
      </c>
      <c r="F54" s="68">
        <f t="shared" si="9"/>
        <v>0</v>
      </c>
      <c r="G54" s="70">
        <f t="shared" si="7"/>
        <v>0</v>
      </c>
      <c r="H54" s="52">
        <f t="shared" si="8"/>
        <v>0</v>
      </c>
      <c r="I54" s="65">
        <f t="shared" si="10"/>
        <v>0</v>
      </c>
      <c r="J54" s="65"/>
      <c r="K54" s="130"/>
      <c r="L54" s="67">
        <f t="shared" si="11"/>
        <v>0</v>
      </c>
      <c r="M54" s="130"/>
      <c r="N54" s="67">
        <f t="shared" si="12"/>
        <v>0</v>
      </c>
      <c r="O54" s="67">
        <f t="shared" si="13"/>
        <v>0</v>
      </c>
      <c r="P54" s="4"/>
    </row>
    <row r="55" spans="2:16">
      <c r="B55" t="str">
        <f t="shared" si="0"/>
        <v/>
      </c>
      <c r="C55" s="62">
        <f>IF(D11="","-",+C54+1)</f>
        <v>2056</v>
      </c>
      <c r="D55" s="71">
        <f>IF(F54+SUM(E$17:E54)=D$10,F54,D$10-SUM(E$17:E54))</f>
        <v>0</v>
      </c>
      <c r="E55" s="69">
        <f t="shared" si="14"/>
        <v>0</v>
      </c>
      <c r="F55" s="68">
        <f t="shared" si="9"/>
        <v>0</v>
      </c>
      <c r="G55" s="70">
        <f t="shared" si="7"/>
        <v>0</v>
      </c>
      <c r="H55" s="52">
        <f t="shared" si="8"/>
        <v>0</v>
      </c>
      <c r="I55" s="65">
        <f t="shared" si="10"/>
        <v>0</v>
      </c>
      <c r="J55" s="65"/>
      <c r="K55" s="130"/>
      <c r="L55" s="67">
        <f t="shared" si="11"/>
        <v>0</v>
      </c>
      <c r="M55" s="130"/>
      <c r="N55" s="67">
        <f t="shared" si="12"/>
        <v>0</v>
      </c>
      <c r="O55" s="67">
        <f t="shared" si="13"/>
        <v>0</v>
      </c>
      <c r="P55" s="4"/>
    </row>
    <row r="56" spans="2:16">
      <c r="B56" t="str">
        <f t="shared" si="0"/>
        <v/>
      </c>
      <c r="C56" s="62">
        <f>IF(D11="","-",+C55+1)</f>
        <v>2057</v>
      </c>
      <c r="D56" s="71">
        <f>IF(F55+SUM(E$17:E55)=D$10,F55,D$10-SUM(E$17:E55))</f>
        <v>0</v>
      </c>
      <c r="E56" s="69">
        <f t="shared" si="14"/>
        <v>0</v>
      </c>
      <c r="F56" s="68">
        <f t="shared" si="9"/>
        <v>0</v>
      </c>
      <c r="G56" s="70">
        <f t="shared" si="7"/>
        <v>0</v>
      </c>
      <c r="H56" s="52">
        <f t="shared" si="8"/>
        <v>0</v>
      </c>
      <c r="I56" s="65">
        <f t="shared" si="10"/>
        <v>0</v>
      </c>
      <c r="J56" s="65"/>
      <c r="K56" s="130"/>
      <c r="L56" s="67">
        <f t="shared" si="11"/>
        <v>0</v>
      </c>
      <c r="M56" s="130"/>
      <c r="N56" s="67">
        <f t="shared" si="12"/>
        <v>0</v>
      </c>
      <c r="O56" s="67">
        <f t="shared" si="13"/>
        <v>0</v>
      </c>
      <c r="P56" s="4"/>
    </row>
    <row r="57" spans="2:16">
      <c r="B57" t="str">
        <f t="shared" si="0"/>
        <v/>
      </c>
      <c r="C57" s="62">
        <f>IF(D11="","-",+C56+1)</f>
        <v>2058</v>
      </c>
      <c r="D57" s="71">
        <f>IF(F56+SUM(E$17:E56)=D$10,F56,D$10-SUM(E$17:E56))</f>
        <v>0</v>
      </c>
      <c r="E57" s="69">
        <f t="shared" si="14"/>
        <v>0</v>
      </c>
      <c r="F57" s="68">
        <f t="shared" si="9"/>
        <v>0</v>
      </c>
      <c r="G57" s="70">
        <f t="shared" si="7"/>
        <v>0</v>
      </c>
      <c r="H57" s="52">
        <f t="shared" si="8"/>
        <v>0</v>
      </c>
      <c r="I57" s="65">
        <f t="shared" si="10"/>
        <v>0</v>
      </c>
      <c r="J57" s="65"/>
      <c r="K57" s="130"/>
      <c r="L57" s="67">
        <f t="shared" si="11"/>
        <v>0</v>
      </c>
      <c r="M57" s="130"/>
      <c r="N57" s="67">
        <f t="shared" si="12"/>
        <v>0</v>
      </c>
      <c r="O57" s="67">
        <f t="shared" si="13"/>
        <v>0</v>
      </c>
      <c r="P57" s="4"/>
    </row>
    <row r="58" spans="2:16">
      <c r="B58" t="str">
        <f t="shared" si="0"/>
        <v/>
      </c>
      <c r="C58" s="62">
        <f>IF(D11="","-",+C57+1)</f>
        <v>2059</v>
      </c>
      <c r="D58" s="71">
        <f>IF(F57+SUM(E$17:E57)=D$10,F57,D$10-SUM(E$17:E57))</f>
        <v>0</v>
      </c>
      <c r="E58" s="69">
        <f t="shared" si="14"/>
        <v>0</v>
      </c>
      <c r="F58" s="68">
        <f t="shared" si="9"/>
        <v>0</v>
      </c>
      <c r="G58" s="70">
        <f t="shared" si="7"/>
        <v>0</v>
      </c>
      <c r="H58" s="52">
        <f t="shared" si="8"/>
        <v>0</v>
      </c>
      <c r="I58" s="65">
        <f t="shared" si="10"/>
        <v>0</v>
      </c>
      <c r="J58" s="65"/>
      <c r="K58" s="130"/>
      <c r="L58" s="67">
        <f t="shared" si="11"/>
        <v>0</v>
      </c>
      <c r="M58" s="130"/>
      <c r="N58" s="67">
        <f t="shared" si="12"/>
        <v>0</v>
      </c>
      <c r="O58" s="67">
        <f t="shared" si="13"/>
        <v>0</v>
      </c>
      <c r="P58" s="4"/>
    </row>
    <row r="59" spans="2:16">
      <c r="B59" t="str">
        <f t="shared" si="0"/>
        <v/>
      </c>
      <c r="C59" s="62">
        <f>IF(D11="","-",+C58+1)</f>
        <v>2060</v>
      </c>
      <c r="D59" s="71">
        <f>IF(F58+SUM(E$17:E58)=D$10,F58,D$10-SUM(E$17:E58))</f>
        <v>0</v>
      </c>
      <c r="E59" s="69">
        <f t="shared" si="14"/>
        <v>0</v>
      </c>
      <c r="F59" s="68">
        <f t="shared" si="9"/>
        <v>0</v>
      </c>
      <c r="G59" s="70">
        <f t="shared" si="7"/>
        <v>0</v>
      </c>
      <c r="H59" s="52">
        <f t="shared" si="8"/>
        <v>0</v>
      </c>
      <c r="I59" s="65">
        <f t="shared" si="10"/>
        <v>0</v>
      </c>
      <c r="J59" s="65"/>
      <c r="K59" s="130"/>
      <c r="L59" s="67">
        <f t="shared" si="11"/>
        <v>0</v>
      </c>
      <c r="M59" s="130"/>
      <c r="N59" s="67">
        <f t="shared" si="12"/>
        <v>0</v>
      </c>
      <c r="O59" s="67">
        <f t="shared" si="13"/>
        <v>0</v>
      </c>
      <c r="P59" s="4"/>
    </row>
    <row r="60" spans="2:16">
      <c r="B60" t="str">
        <f t="shared" si="0"/>
        <v/>
      </c>
      <c r="C60" s="62">
        <f>IF(D11="","-",+C59+1)</f>
        <v>2061</v>
      </c>
      <c r="D60" s="71">
        <f>IF(F59+SUM(E$17:E59)=D$10,F59,D$10-SUM(E$17:E59))</f>
        <v>0</v>
      </c>
      <c r="E60" s="69">
        <f t="shared" si="14"/>
        <v>0</v>
      </c>
      <c r="F60" s="68">
        <f t="shared" si="9"/>
        <v>0</v>
      </c>
      <c r="G60" s="70">
        <f t="shared" si="7"/>
        <v>0</v>
      </c>
      <c r="H60" s="52">
        <f t="shared" si="8"/>
        <v>0</v>
      </c>
      <c r="I60" s="65">
        <f t="shared" si="10"/>
        <v>0</v>
      </c>
      <c r="J60" s="65"/>
      <c r="K60" s="130"/>
      <c r="L60" s="67">
        <f t="shared" si="11"/>
        <v>0</v>
      </c>
      <c r="M60" s="130"/>
      <c r="N60" s="67">
        <f t="shared" si="12"/>
        <v>0</v>
      </c>
      <c r="O60" s="67">
        <f t="shared" si="13"/>
        <v>0</v>
      </c>
      <c r="P60" s="4"/>
    </row>
    <row r="61" spans="2:16">
      <c r="B61" t="str">
        <f t="shared" si="0"/>
        <v/>
      </c>
      <c r="C61" s="62">
        <f>IF(D11="","-",+C60+1)</f>
        <v>2062</v>
      </c>
      <c r="D61" s="71">
        <f>IF(F60+SUM(E$17:E60)=D$10,F60,D$10-SUM(E$17:E60))</f>
        <v>0</v>
      </c>
      <c r="E61" s="69">
        <f t="shared" si="14"/>
        <v>0</v>
      </c>
      <c r="F61" s="68">
        <f t="shared" si="9"/>
        <v>0</v>
      </c>
      <c r="G61" s="72">
        <f t="shared" si="7"/>
        <v>0</v>
      </c>
      <c r="H61" s="52">
        <f t="shared" si="8"/>
        <v>0</v>
      </c>
      <c r="I61" s="65">
        <f t="shared" si="10"/>
        <v>0</v>
      </c>
      <c r="J61" s="65"/>
      <c r="K61" s="130"/>
      <c r="L61" s="67">
        <f t="shared" si="11"/>
        <v>0</v>
      </c>
      <c r="M61" s="130"/>
      <c r="N61" s="67">
        <f t="shared" si="12"/>
        <v>0</v>
      </c>
      <c r="O61" s="67">
        <f t="shared" si="13"/>
        <v>0</v>
      </c>
      <c r="P61" s="4"/>
    </row>
    <row r="62" spans="2:16">
      <c r="B62" t="str">
        <f t="shared" si="0"/>
        <v/>
      </c>
      <c r="C62" s="62">
        <f>IF(D11="","-",+C61+1)</f>
        <v>2063</v>
      </c>
      <c r="D62" s="71">
        <f>IF(F61+SUM(E$17:E61)=D$10,F61,D$10-SUM(E$17:E61))</f>
        <v>0</v>
      </c>
      <c r="E62" s="69">
        <f t="shared" si="14"/>
        <v>0</v>
      </c>
      <c r="F62" s="68">
        <f t="shared" si="9"/>
        <v>0</v>
      </c>
      <c r="G62" s="72">
        <f t="shared" si="7"/>
        <v>0</v>
      </c>
      <c r="H62" s="52">
        <f t="shared" si="8"/>
        <v>0</v>
      </c>
      <c r="I62" s="65">
        <f t="shared" si="10"/>
        <v>0</v>
      </c>
      <c r="J62" s="65"/>
      <c r="K62" s="130"/>
      <c r="L62" s="67">
        <f t="shared" si="11"/>
        <v>0</v>
      </c>
      <c r="M62" s="130"/>
      <c r="N62" s="67">
        <f t="shared" si="12"/>
        <v>0</v>
      </c>
      <c r="O62" s="67">
        <f t="shared" si="13"/>
        <v>0</v>
      </c>
      <c r="P62" s="4"/>
    </row>
    <row r="63" spans="2:16">
      <c r="B63" t="str">
        <f t="shared" si="0"/>
        <v/>
      </c>
      <c r="C63" s="62">
        <f>IF(D11="","-",+C62+1)</f>
        <v>2064</v>
      </c>
      <c r="D63" s="71">
        <f>IF(F62+SUM(E$17:E62)=D$10,F62,D$10-SUM(E$17:E62))</f>
        <v>0</v>
      </c>
      <c r="E63" s="69">
        <f t="shared" si="14"/>
        <v>0</v>
      </c>
      <c r="F63" s="68">
        <f t="shared" si="9"/>
        <v>0</v>
      </c>
      <c r="G63" s="72">
        <f t="shared" si="7"/>
        <v>0</v>
      </c>
      <c r="H63" s="52">
        <f t="shared" si="8"/>
        <v>0</v>
      </c>
      <c r="I63" s="65">
        <f t="shared" si="10"/>
        <v>0</v>
      </c>
      <c r="J63" s="65"/>
      <c r="K63" s="130"/>
      <c r="L63" s="67">
        <f t="shared" si="11"/>
        <v>0</v>
      </c>
      <c r="M63" s="130"/>
      <c r="N63" s="67">
        <f t="shared" si="12"/>
        <v>0</v>
      </c>
      <c r="O63" s="67">
        <f t="shared" si="13"/>
        <v>0</v>
      </c>
      <c r="P63" s="4"/>
    </row>
    <row r="64" spans="2:16">
      <c r="B64" t="str">
        <f t="shared" si="0"/>
        <v/>
      </c>
      <c r="C64" s="62">
        <f>IF(D11="","-",+C63+1)</f>
        <v>2065</v>
      </c>
      <c r="D64" s="71">
        <f>IF(F63+SUM(E$17:E63)=D$10,F63,D$10-SUM(E$17:E63))</f>
        <v>0</v>
      </c>
      <c r="E64" s="69">
        <f t="shared" si="14"/>
        <v>0</v>
      </c>
      <c r="F64" s="68">
        <f t="shared" si="9"/>
        <v>0</v>
      </c>
      <c r="G64" s="72">
        <f t="shared" si="7"/>
        <v>0</v>
      </c>
      <c r="H64" s="52">
        <f t="shared" si="8"/>
        <v>0</v>
      </c>
      <c r="I64" s="65">
        <f t="shared" si="10"/>
        <v>0</v>
      </c>
      <c r="J64" s="65"/>
      <c r="K64" s="130"/>
      <c r="L64" s="67">
        <f t="shared" si="11"/>
        <v>0</v>
      </c>
      <c r="M64" s="130"/>
      <c r="N64" s="67">
        <f t="shared" si="12"/>
        <v>0</v>
      </c>
      <c r="O64" s="67">
        <f t="shared" si="13"/>
        <v>0</v>
      </c>
      <c r="P64" s="4"/>
    </row>
    <row r="65" spans="2:16">
      <c r="B65" t="str">
        <f t="shared" si="0"/>
        <v/>
      </c>
      <c r="C65" s="62">
        <f>IF(D11="","-",+C64+1)</f>
        <v>2066</v>
      </c>
      <c r="D65" s="71">
        <f>IF(F64+SUM(E$17:E64)=D$10,F64,D$10-SUM(E$17:E64))</f>
        <v>0</v>
      </c>
      <c r="E65" s="69">
        <f t="shared" si="14"/>
        <v>0</v>
      </c>
      <c r="F65" s="68">
        <f t="shared" si="9"/>
        <v>0</v>
      </c>
      <c r="G65" s="72">
        <f t="shared" si="7"/>
        <v>0</v>
      </c>
      <c r="H65" s="52">
        <f t="shared" si="8"/>
        <v>0</v>
      </c>
      <c r="I65" s="65">
        <f t="shared" si="10"/>
        <v>0</v>
      </c>
      <c r="J65" s="65"/>
      <c r="K65" s="130"/>
      <c r="L65" s="67">
        <f t="shared" si="11"/>
        <v>0</v>
      </c>
      <c r="M65" s="130"/>
      <c r="N65" s="67">
        <f t="shared" si="12"/>
        <v>0</v>
      </c>
      <c r="O65" s="67">
        <f t="shared" si="13"/>
        <v>0</v>
      </c>
      <c r="P65" s="4"/>
    </row>
    <row r="66" spans="2:16">
      <c r="B66" t="str">
        <f t="shared" si="0"/>
        <v/>
      </c>
      <c r="C66" s="62">
        <f>IF(D11="","-",+C65+1)</f>
        <v>2067</v>
      </c>
      <c r="D66" s="71">
        <f>IF(F65+SUM(E$17:E65)=D$10,F65,D$10-SUM(E$17:E65))</f>
        <v>0</v>
      </c>
      <c r="E66" s="69">
        <f t="shared" si="14"/>
        <v>0</v>
      </c>
      <c r="F66" s="68">
        <f t="shared" si="9"/>
        <v>0</v>
      </c>
      <c r="G66" s="72">
        <f t="shared" si="7"/>
        <v>0</v>
      </c>
      <c r="H66" s="52">
        <f t="shared" si="8"/>
        <v>0</v>
      </c>
      <c r="I66" s="65">
        <f t="shared" si="10"/>
        <v>0</v>
      </c>
      <c r="J66" s="65"/>
      <c r="K66" s="130"/>
      <c r="L66" s="67">
        <f t="shared" si="11"/>
        <v>0</v>
      </c>
      <c r="M66" s="130"/>
      <c r="N66" s="67">
        <f t="shared" si="12"/>
        <v>0</v>
      </c>
      <c r="O66" s="67">
        <f t="shared" si="13"/>
        <v>0</v>
      </c>
      <c r="P66" s="4"/>
    </row>
    <row r="67" spans="2:16">
      <c r="B67" t="str">
        <f t="shared" si="0"/>
        <v/>
      </c>
      <c r="C67" s="62">
        <f>IF(D11="","-",+C66+1)</f>
        <v>2068</v>
      </c>
      <c r="D67" s="71">
        <f>IF(F66+SUM(E$17:E66)=D$10,F66,D$10-SUM(E$17:E66))</f>
        <v>0</v>
      </c>
      <c r="E67" s="69">
        <f t="shared" si="14"/>
        <v>0</v>
      </c>
      <c r="F67" s="68">
        <f t="shared" si="9"/>
        <v>0</v>
      </c>
      <c r="G67" s="72">
        <f t="shared" si="7"/>
        <v>0</v>
      </c>
      <c r="H67" s="52">
        <f t="shared" si="8"/>
        <v>0</v>
      </c>
      <c r="I67" s="65">
        <f t="shared" si="10"/>
        <v>0</v>
      </c>
      <c r="J67" s="65"/>
      <c r="K67" s="130"/>
      <c r="L67" s="67">
        <f t="shared" si="11"/>
        <v>0</v>
      </c>
      <c r="M67" s="130"/>
      <c r="N67" s="67">
        <f t="shared" si="12"/>
        <v>0</v>
      </c>
      <c r="O67" s="67">
        <f t="shared" si="13"/>
        <v>0</v>
      </c>
      <c r="P67" s="4"/>
    </row>
    <row r="68" spans="2:16">
      <c r="B68" t="str">
        <f t="shared" si="0"/>
        <v/>
      </c>
      <c r="C68" s="62">
        <f>IF(D11="","-",+C67+1)</f>
        <v>2069</v>
      </c>
      <c r="D68" s="71">
        <f>IF(F67+SUM(E$17:E67)=D$10,F67,D$10-SUM(E$17:E67))</f>
        <v>0</v>
      </c>
      <c r="E68" s="69">
        <f t="shared" si="14"/>
        <v>0</v>
      </c>
      <c r="F68" s="68">
        <f t="shared" si="9"/>
        <v>0</v>
      </c>
      <c r="G68" s="72">
        <f t="shared" si="7"/>
        <v>0</v>
      </c>
      <c r="H68" s="52">
        <f t="shared" si="8"/>
        <v>0</v>
      </c>
      <c r="I68" s="65">
        <f t="shared" si="10"/>
        <v>0</v>
      </c>
      <c r="J68" s="65"/>
      <c r="K68" s="130"/>
      <c r="L68" s="67">
        <f t="shared" si="11"/>
        <v>0</v>
      </c>
      <c r="M68" s="130"/>
      <c r="N68" s="67">
        <f t="shared" si="12"/>
        <v>0</v>
      </c>
      <c r="O68" s="67">
        <f t="shared" si="13"/>
        <v>0</v>
      </c>
      <c r="P68" s="4"/>
    </row>
    <row r="69" spans="2:16">
      <c r="B69" t="str">
        <f t="shared" si="0"/>
        <v/>
      </c>
      <c r="C69" s="62">
        <f>IF(D11="","-",+C68+1)</f>
        <v>2070</v>
      </c>
      <c r="D69" s="71">
        <f>IF(F68+SUM(E$17:E68)=D$10,F68,D$10-SUM(E$17:E68))</f>
        <v>0</v>
      </c>
      <c r="E69" s="69">
        <f t="shared" si="14"/>
        <v>0</v>
      </c>
      <c r="F69" s="68">
        <f t="shared" si="9"/>
        <v>0</v>
      </c>
      <c r="G69" s="72">
        <f t="shared" si="7"/>
        <v>0</v>
      </c>
      <c r="H69" s="52">
        <f t="shared" si="8"/>
        <v>0</v>
      </c>
      <c r="I69" s="65">
        <f t="shared" si="10"/>
        <v>0</v>
      </c>
      <c r="J69" s="65"/>
      <c r="K69" s="130"/>
      <c r="L69" s="67">
        <f t="shared" si="11"/>
        <v>0</v>
      </c>
      <c r="M69" s="130"/>
      <c r="N69" s="67">
        <f t="shared" si="12"/>
        <v>0</v>
      </c>
      <c r="O69" s="67">
        <f t="shared" si="13"/>
        <v>0</v>
      </c>
      <c r="P69" s="4"/>
    </row>
    <row r="70" spans="2:16">
      <c r="B70" t="str">
        <f t="shared" si="0"/>
        <v/>
      </c>
      <c r="C70" s="62">
        <f>IF(D11="","-",+C69+1)</f>
        <v>2071</v>
      </c>
      <c r="D70" s="71">
        <f>IF(F69+SUM(E$17:E69)=D$10,F69,D$10-SUM(E$17:E69))</f>
        <v>0</v>
      </c>
      <c r="E70" s="69">
        <f t="shared" si="14"/>
        <v>0</v>
      </c>
      <c r="F70" s="68">
        <f t="shared" si="9"/>
        <v>0</v>
      </c>
      <c r="G70" s="72">
        <f t="shared" si="7"/>
        <v>0</v>
      </c>
      <c r="H70" s="52">
        <f t="shared" si="8"/>
        <v>0</v>
      </c>
      <c r="I70" s="65">
        <f t="shared" si="10"/>
        <v>0</v>
      </c>
      <c r="J70" s="65"/>
      <c r="K70" s="130"/>
      <c r="L70" s="67">
        <f t="shared" si="11"/>
        <v>0</v>
      </c>
      <c r="M70" s="130"/>
      <c r="N70" s="67">
        <f t="shared" si="12"/>
        <v>0</v>
      </c>
      <c r="O70" s="67">
        <f t="shared" si="13"/>
        <v>0</v>
      </c>
      <c r="P70" s="4"/>
    </row>
    <row r="71" spans="2:16">
      <c r="B71" t="str">
        <f t="shared" si="0"/>
        <v/>
      </c>
      <c r="C71" s="62">
        <f>IF(D11="","-",+C70+1)</f>
        <v>2072</v>
      </c>
      <c r="D71" s="71">
        <f>IF(F70+SUM(E$17:E70)=D$10,F70,D$10-SUM(E$17:E70))</f>
        <v>0</v>
      </c>
      <c r="E71" s="69">
        <f t="shared" si="14"/>
        <v>0</v>
      </c>
      <c r="F71" s="68">
        <f t="shared" si="9"/>
        <v>0</v>
      </c>
      <c r="G71" s="72">
        <f t="shared" si="7"/>
        <v>0</v>
      </c>
      <c r="H71" s="52">
        <f t="shared" si="8"/>
        <v>0</v>
      </c>
      <c r="I71" s="65">
        <f t="shared" si="10"/>
        <v>0</v>
      </c>
      <c r="J71" s="65"/>
      <c r="K71" s="130"/>
      <c r="L71" s="67">
        <f t="shared" si="11"/>
        <v>0</v>
      </c>
      <c r="M71" s="130"/>
      <c r="N71" s="67">
        <f t="shared" si="12"/>
        <v>0</v>
      </c>
      <c r="O71" s="67">
        <f t="shared" si="13"/>
        <v>0</v>
      </c>
      <c r="P71" s="4"/>
    </row>
    <row r="72" spans="2:16">
      <c r="C72" s="62">
        <f>IF(D12="","-",+C71+1)</f>
        <v>2073</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5" thickBot="1">
      <c r="B73" t="str">
        <f>IF(D73=F71,"","IU")</f>
        <v/>
      </c>
      <c r="C73" s="73">
        <f>IF(D13="","-",+C72+1)</f>
        <v>2074</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c r="C74" s="63" t="s">
        <v>75</v>
      </c>
      <c r="D74" s="19"/>
      <c r="E74" s="19">
        <f>SUM(E17:E73)</f>
        <v>0</v>
      </c>
      <c r="F74" s="19"/>
      <c r="G74" s="19">
        <f>SUM(G17:G73)</f>
        <v>0</v>
      </c>
      <c r="H74" s="19">
        <f>SUM(H17:H73)</f>
        <v>0</v>
      </c>
      <c r="I74" s="19">
        <f>SUM(I17:I73)</f>
        <v>0</v>
      </c>
      <c r="J74" s="19"/>
      <c r="K74" s="19"/>
      <c r="L74" s="19"/>
      <c r="M74" s="19"/>
      <c r="N74" s="19"/>
      <c r="O74" s="4"/>
      <c r="P74" s="4"/>
    </row>
    <row r="75" spans="2:16">
      <c r="D75" s="2"/>
      <c r="E75" s="1"/>
      <c r="F75" s="1"/>
      <c r="G75" s="1"/>
      <c r="H75" s="3"/>
      <c r="I75" s="3"/>
      <c r="J75" s="19"/>
      <c r="K75" s="3"/>
      <c r="L75" s="3"/>
      <c r="M75" s="3"/>
      <c r="N75" s="3"/>
      <c r="O75" s="1"/>
      <c r="P75" s="1"/>
    </row>
    <row r="76" spans="2:16">
      <c r="C76" s="79" t="s">
        <v>95</v>
      </c>
      <c r="D76" s="2"/>
      <c r="E76" s="1"/>
      <c r="F76" s="1"/>
      <c r="G76" s="1"/>
      <c r="H76" s="3"/>
      <c r="I76" s="3"/>
      <c r="J76" s="19"/>
      <c r="K76" s="3"/>
      <c r="L76" s="3"/>
      <c r="M76" s="3"/>
      <c r="N76" s="3"/>
      <c r="O76" s="1"/>
      <c r="P76" s="1"/>
    </row>
    <row r="77" spans="2:16">
      <c r="C77" s="31" t="s">
        <v>76</v>
      </c>
      <c r="D77" s="2"/>
      <c r="E77" s="1"/>
      <c r="F77" s="1"/>
      <c r="G77" s="1"/>
      <c r="H77" s="3"/>
      <c r="I77" s="3"/>
      <c r="J77" s="19"/>
      <c r="K77" s="3"/>
      <c r="L77" s="3"/>
      <c r="M77" s="3"/>
      <c r="N77" s="3"/>
      <c r="O77" s="4"/>
      <c r="P77" s="4"/>
    </row>
    <row r="78" spans="2:16">
      <c r="C78" s="31" t="s">
        <v>77</v>
      </c>
      <c r="D78" s="63"/>
      <c r="E78" s="63"/>
      <c r="F78" s="63"/>
      <c r="G78" s="19"/>
      <c r="H78" s="19"/>
      <c r="I78" s="80"/>
      <c r="J78" s="80"/>
      <c r="K78" s="80"/>
      <c r="L78" s="80"/>
      <c r="M78" s="80"/>
      <c r="N78" s="80"/>
      <c r="O78" s="4"/>
      <c r="P78" s="4"/>
    </row>
    <row r="79" spans="2:16">
      <c r="C79" s="31"/>
      <c r="D79" s="63"/>
      <c r="E79" s="63"/>
      <c r="F79" s="63"/>
      <c r="G79" s="19"/>
      <c r="H79" s="19"/>
      <c r="I79" s="80"/>
      <c r="J79" s="80"/>
      <c r="K79" s="80"/>
      <c r="L79" s="80"/>
      <c r="M79" s="80"/>
      <c r="N79" s="80"/>
      <c r="O79" s="4"/>
      <c r="P79" s="1"/>
    </row>
    <row r="80" spans="2:16">
      <c r="B80" s="1"/>
      <c r="C80" s="9"/>
      <c r="D80" s="2"/>
      <c r="E80" s="1"/>
      <c r="F80" s="17"/>
      <c r="G80" s="1"/>
      <c r="H80" s="3"/>
      <c r="I80" s="1"/>
      <c r="J80" s="4"/>
      <c r="K80" s="1"/>
      <c r="L80" s="1"/>
      <c r="M80" s="1"/>
      <c r="N80" s="1"/>
      <c r="O80" s="1"/>
      <c r="P80" s="1"/>
    </row>
    <row r="81" spans="1:16" ht="18">
      <c r="B81" s="1"/>
      <c r="C81" s="109"/>
      <c r="D81" s="2"/>
      <c r="E81" s="1"/>
      <c r="F81" s="17"/>
      <c r="G81" s="1"/>
      <c r="H81" s="3"/>
      <c r="I81" s="1"/>
      <c r="J81" s="4"/>
      <c r="K81" s="1"/>
      <c r="L81" s="1"/>
      <c r="M81" s="1"/>
      <c r="N81" s="1"/>
      <c r="P81" s="111" t="s">
        <v>128</v>
      </c>
    </row>
    <row r="82" spans="1:16">
      <c r="B82" s="1"/>
      <c r="C82" s="9"/>
      <c r="D82" s="2"/>
      <c r="E82" s="1"/>
      <c r="F82" s="17"/>
      <c r="G82" s="1"/>
      <c r="H82" s="3"/>
      <c r="I82" s="1"/>
      <c r="J82" s="4"/>
      <c r="K82" s="1"/>
      <c r="L82" s="1"/>
      <c r="M82" s="1"/>
      <c r="N82" s="1"/>
      <c r="O82" s="1"/>
      <c r="P82" s="1"/>
    </row>
    <row r="83" spans="1:16">
      <c r="B83" s="1"/>
      <c r="C83" s="9"/>
      <c r="D83" s="2"/>
      <c r="E83" s="1"/>
      <c r="F83" s="17"/>
      <c r="G83" s="1"/>
      <c r="H83" s="3"/>
      <c r="I83" s="1"/>
      <c r="J83" s="4"/>
      <c r="K83" s="1"/>
      <c r="L83" s="1"/>
      <c r="M83" s="1"/>
      <c r="N83" s="1"/>
      <c r="O83" s="1"/>
      <c r="P83" s="1"/>
    </row>
    <row r="84" spans="1:16" ht="20.25">
      <c r="A84" s="110" t="s">
        <v>190</v>
      </c>
      <c r="B84" s="1"/>
      <c r="C84" s="9"/>
      <c r="D84" s="2"/>
      <c r="E84" s="1"/>
      <c r="F84" s="14"/>
      <c r="G84" s="14"/>
      <c r="H84" s="1"/>
      <c r="I84" s="3"/>
      <c r="K84" s="7"/>
      <c r="L84" s="18"/>
      <c r="M84" s="18"/>
      <c r="P84" s="18" t="str">
        <f ca="1">P1</f>
        <v>OKT Project nk of 23</v>
      </c>
    </row>
    <row r="85" spans="1:16" ht="18">
      <c r="B85" s="1"/>
      <c r="C85" s="1"/>
      <c r="D85" s="2"/>
      <c r="E85" s="1"/>
      <c r="F85" s="1"/>
      <c r="G85" s="1"/>
      <c r="H85" s="1"/>
      <c r="I85" s="3"/>
      <c r="J85" s="1"/>
      <c r="K85" s="4"/>
      <c r="L85" s="1"/>
      <c r="M85" s="1"/>
      <c r="P85" s="117" t="s">
        <v>132</v>
      </c>
    </row>
    <row r="86" spans="1:16" ht="18.75" thickBot="1">
      <c r="B86" s="5" t="s">
        <v>42</v>
      </c>
      <c r="C86" s="82" t="s">
        <v>81</v>
      </c>
      <c r="D86" s="2"/>
      <c r="E86" s="1"/>
      <c r="F86" s="1"/>
      <c r="G86" s="1"/>
      <c r="H86" s="1"/>
      <c r="I86" s="3"/>
      <c r="J86" s="3"/>
      <c r="K86" s="19"/>
      <c r="L86" s="3"/>
      <c r="M86" s="3"/>
      <c r="N86" s="3"/>
      <c r="O86" s="19"/>
      <c r="P86" s="1"/>
    </row>
    <row r="87" spans="1:16" ht="15.75" thickBot="1">
      <c r="C87" s="12"/>
      <c r="D87" s="2"/>
      <c r="E87" s="1"/>
      <c r="F87" s="1"/>
      <c r="G87" s="1"/>
      <c r="H87" s="1"/>
      <c r="I87" s="3"/>
      <c r="J87" s="3"/>
      <c r="K87" s="19"/>
      <c r="L87" s="118">
        <f>+J93</f>
        <v>2020</v>
      </c>
      <c r="M87" s="119" t="s">
        <v>9</v>
      </c>
      <c r="N87" s="120" t="s">
        <v>134</v>
      </c>
      <c r="O87" s="121" t="s">
        <v>11</v>
      </c>
      <c r="P87" s="1"/>
    </row>
    <row r="88" spans="1:16" ht="1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7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insert project name here</v>
      </c>
      <c r="E90" s="1"/>
      <c r="F90" s="1"/>
      <c r="G90" s="1"/>
      <c r="H90" s="1"/>
      <c r="I90" s="3"/>
      <c r="J90" s="3"/>
      <c r="K90" s="126"/>
      <c r="L90" s="127" t="s">
        <v>135</v>
      </c>
      <c r="M90" s="88">
        <f>+M89-M88</f>
        <v>0</v>
      </c>
      <c r="N90" s="88">
        <f>+N89-N88</f>
        <v>0</v>
      </c>
      <c r="O90" s="89">
        <f>+O89-O88</f>
        <v>0</v>
      </c>
      <c r="P90" s="1"/>
    </row>
    <row r="91" spans="1:16" ht="13.5" thickBot="1">
      <c r="C91" s="79"/>
      <c r="D91" s="81" t="str">
        <f>IF(D8="","",D8)</f>
        <v>DOES NOT MEET SPP $100,000 MINIMUM INVESTMENT FOR REGIONAL BPU SHARING.</v>
      </c>
      <c r="E91" s="17"/>
      <c r="F91" s="17"/>
      <c r="G91" s="17"/>
      <c r="H91" s="36"/>
      <c r="I91" s="3"/>
      <c r="J91" s="3"/>
      <c r="K91" s="19"/>
      <c r="L91" s="3"/>
      <c r="M91" s="3"/>
      <c r="N91" s="3"/>
      <c r="O91" s="19"/>
      <c r="P91" s="1"/>
    </row>
    <row r="92" spans="1:16" ht="13.5" thickBot="1">
      <c r="A92" s="16"/>
      <c r="C92" s="90" t="s">
        <v>83</v>
      </c>
      <c r="D92" s="105" t="str">
        <f>+D9</f>
        <v>TP2004033</v>
      </c>
      <c r="E92" s="91"/>
      <c r="F92" s="91"/>
      <c r="G92" s="91"/>
      <c r="H92" s="91"/>
      <c r="I92" s="91"/>
      <c r="J92" s="91"/>
      <c r="K92" s="92"/>
      <c r="P92" s="41"/>
    </row>
    <row r="93" spans="1:16">
      <c r="C93" s="46" t="s">
        <v>49</v>
      </c>
      <c r="D93" s="102">
        <v>0</v>
      </c>
      <c r="E93" s="9" t="s">
        <v>84</v>
      </c>
      <c r="H93" s="44"/>
      <c r="I93" s="44"/>
      <c r="J93" s="45">
        <f>+'OKT.WS.G.BPU.ATRR.True-up'!M16</f>
        <v>2020</v>
      </c>
      <c r="K93" s="40"/>
      <c r="L93" s="19" t="s">
        <v>85</v>
      </c>
      <c r="P93" s="4"/>
    </row>
    <row r="94" spans="1:16">
      <c r="C94" s="46" t="s">
        <v>52</v>
      </c>
      <c r="D94" s="102">
        <f>IF(D11="","",D11)</f>
        <v>2018</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c r="C95" s="46" t="s">
        <v>54</v>
      </c>
      <c r="D95" s="102">
        <f>IF(D12="","",D12)</f>
        <v>4</v>
      </c>
      <c r="E95" s="46" t="s">
        <v>55</v>
      </c>
      <c r="F95" s="44"/>
      <c r="G95" s="44"/>
      <c r="J95" s="50">
        <f>'OKT.WS.G.BPU.ATRR.True-up'!$F$81</f>
        <v>0.11475877389767174</v>
      </c>
      <c r="K95" s="51"/>
      <c r="L95" t="s">
        <v>86</v>
      </c>
      <c r="P95" s="4"/>
    </row>
    <row r="96" spans="1:16">
      <c r="C96" s="46" t="s">
        <v>57</v>
      </c>
      <c r="D96" s="48">
        <f>'OKT.WS.G.BPU.ATRR.True-up'!F$93</f>
        <v>21</v>
      </c>
      <c r="E96" s="46" t="s">
        <v>58</v>
      </c>
      <c r="F96" s="44"/>
      <c r="G96" s="44"/>
      <c r="J96" s="50">
        <f>IF(H88="",J95,'OKT.WS.G.BPU.ATRR.True-up'!$F$80)</f>
        <v>0.11475877389767174</v>
      </c>
      <c r="K96" s="10"/>
      <c r="L96" s="19" t="s">
        <v>59</v>
      </c>
      <c r="M96" s="10"/>
      <c r="N96" s="10"/>
      <c r="O96" s="10"/>
      <c r="P96" s="4"/>
    </row>
    <row r="97" spans="1:16" ht="13.5" thickBot="1">
      <c r="C97" s="46" t="s">
        <v>60</v>
      </c>
      <c r="D97" s="103" t="str">
        <f>+D14</f>
        <v>No</v>
      </c>
      <c r="E97" s="87" t="s">
        <v>62</v>
      </c>
      <c r="F97" s="93"/>
      <c r="G97" s="93"/>
      <c r="H97" s="94"/>
      <c r="I97" s="94"/>
      <c r="J97" s="34">
        <f>IF(D93=0,0,D93/D96)</f>
        <v>0</v>
      </c>
      <c r="K97" s="19"/>
      <c r="L97" s="19"/>
      <c r="M97" s="19"/>
      <c r="N97" s="19"/>
      <c r="O97" s="19"/>
      <c r="P97" s="4"/>
    </row>
    <row r="98" spans="1:16" ht="38.25">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c r="B100" t="str">
        <f t="shared" ref="B100:B155" si="15">IF(D100=F99,"","IU")</f>
        <v>IU</v>
      </c>
      <c r="C100" s="62">
        <f>IF(D94= "","-",D94)</f>
        <v>2018</v>
      </c>
      <c r="D100" s="63">
        <f>IF(D94=C100,0,IF(D93&lt;100000,0,D93))</f>
        <v>0</v>
      </c>
      <c r="E100" s="70">
        <f>IF(D93&lt;100000,0,J$97/12*(12-D95))</f>
        <v>0</v>
      </c>
      <c r="F100" s="68">
        <f>IF(D94=C100,+D93-E100,+D100-E100)</f>
        <v>0</v>
      </c>
      <c r="G100" s="98">
        <f>+(F100+D100)/2</f>
        <v>0</v>
      </c>
      <c r="H100" s="98">
        <f t="shared" ref="H100:H155" si="16">+J$95*G100+E100</f>
        <v>0</v>
      </c>
      <c r="I100" s="98">
        <f>+J$96*G100+E100</f>
        <v>0</v>
      </c>
      <c r="J100" s="67">
        <f t="shared" ref="J100:J131" si="17">+I100-H100</f>
        <v>0</v>
      </c>
      <c r="K100" s="67"/>
      <c r="L100" s="129"/>
      <c r="M100" s="66">
        <f t="shared" ref="M100:M131" si="18">IF(L100&lt;&gt;0,+H100-L100,0)</f>
        <v>0</v>
      </c>
      <c r="N100" s="129"/>
      <c r="O100" s="66">
        <f t="shared" ref="O100:O131" si="19">IF(N100&lt;&gt;0,+I100-N100,0)</f>
        <v>0</v>
      </c>
      <c r="P100" s="66">
        <f t="shared" ref="P100:P131" si="20">+O100-M100</f>
        <v>0</v>
      </c>
    </row>
    <row r="101" spans="1:16">
      <c r="B101" t="str">
        <f t="shared" si="15"/>
        <v/>
      </c>
      <c r="C101" s="62">
        <f>IF(D94="","-",+C100+1)</f>
        <v>2019</v>
      </c>
      <c r="D101" s="63">
        <f>IF(F100+SUM(E$100:E100)=D$93,F100,D$93-SUM(E$100:E100))</f>
        <v>0</v>
      </c>
      <c r="E101" s="69">
        <f t="shared" ref="E101:E132" si="21">IF(+J$97&lt;F100,J$97,D101)</f>
        <v>0</v>
      </c>
      <c r="F101" s="68">
        <f t="shared" ref="F101:F131" si="22">+D101-E101</f>
        <v>0</v>
      </c>
      <c r="G101" s="68">
        <f t="shared" ref="G101:G131" si="23">+(F101+D101)/2</f>
        <v>0</v>
      </c>
      <c r="H101" s="128">
        <f t="shared" si="16"/>
        <v>0</v>
      </c>
      <c r="I101" s="137">
        <f t="shared" ref="I101:I155" si="24">+J$96*G101+E101</f>
        <v>0</v>
      </c>
      <c r="J101" s="67">
        <f t="shared" si="17"/>
        <v>0</v>
      </c>
      <c r="K101" s="67"/>
      <c r="L101" s="130"/>
      <c r="M101" s="67">
        <f t="shared" si="18"/>
        <v>0</v>
      </c>
      <c r="N101" s="130"/>
      <c r="O101" s="67">
        <f t="shared" si="19"/>
        <v>0</v>
      </c>
      <c r="P101" s="67">
        <f t="shared" si="20"/>
        <v>0</v>
      </c>
    </row>
    <row r="102" spans="1:16">
      <c r="B102" t="str">
        <f t="shared" si="15"/>
        <v/>
      </c>
      <c r="C102" s="62">
        <f>IF(D94="","-",+C101+1)</f>
        <v>2020</v>
      </c>
      <c r="D102" s="63">
        <f>IF(F101+SUM(E$100:E101)=D$93,F101,D$93-SUM(E$100:E101))</f>
        <v>0</v>
      </c>
      <c r="E102" s="69">
        <f t="shared" si="21"/>
        <v>0</v>
      </c>
      <c r="F102" s="68">
        <f t="shared" si="22"/>
        <v>0</v>
      </c>
      <c r="G102" s="68">
        <f t="shared" si="23"/>
        <v>0</v>
      </c>
      <c r="H102" s="128">
        <f t="shared" si="16"/>
        <v>0</v>
      </c>
      <c r="I102" s="137">
        <f t="shared" si="24"/>
        <v>0</v>
      </c>
      <c r="J102" s="67">
        <f t="shared" si="17"/>
        <v>0</v>
      </c>
      <c r="K102" s="67"/>
      <c r="L102" s="130"/>
      <c r="M102" s="67">
        <f t="shared" si="18"/>
        <v>0</v>
      </c>
      <c r="N102" s="130"/>
      <c r="O102" s="67">
        <f t="shared" si="19"/>
        <v>0</v>
      </c>
      <c r="P102" s="67">
        <f t="shared" si="20"/>
        <v>0</v>
      </c>
    </row>
    <row r="103" spans="1:16">
      <c r="B103" t="str">
        <f t="shared" si="15"/>
        <v/>
      </c>
      <c r="C103" s="62">
        <f>IF(D94="","-",+C102+1)</f>
        <v>2021</v>
      </c>
      <c r="D103" s="63">
        <f>IF(F102+SUM(E$100:E102)=D$93,F102,D$93-SUM(E$100:E102))</f>
        <v>0</v>
      </c>
      <c r="E103" s="69">
        <f t="shared" si="21"/>
        <v>0</v>
      </c>
      <c r="F103" s="68">
        <f t="shared" si="22"/>
        <v>0</v>
      </c>
      <c r="G103" s="68">
        <f t="shared" si="23"/>
        <v>0</v>
      </c>
      <c r="H103" s="128">
        <f t="shared" si="16"/>
        <v>0</v>
      </c>
      <c r="I103" s="137">
        <f t="shared" si="24"/>
        <v>0</v>
      </c>
      <c r="J103" s="67">
        <f t="shared" si="17"/>
        <v>0</v>
      </c>
      <c r="K103" s="67"/>
      <c r="L103" s="130"/>
      <c r="M103" s="67">
        <f t="shared" si="18"/>
        <v>0</v>
      </c>
      <c r="N103" s="130"/>
      <c r="O103" s="67">
        <f t="shared" si="19"/>
        <v>0</v>
      </c>
      <c r="P103" s="67">
        <f t="shared" si="20"/>
        <v>0</v>
      </c>
    </row>
    <row r="104" spans="1:16">
      <c r="B104" t="str">
        <f t="shared" si="15"/>
        <v/>
      </c>
      <c r="C104" s="62">
        <f>IF(D94="","-",+C103+1)</f>
        <v>2022</v>
      </c>
      <c r="D104" s="63">
        <f>IF(F103+SUM(E$100:E103)=D$93,F103,D$93-SUM(E$100:E103))</f>
        <v>0</v>
      </c>
      <c r="E104" s="69">
        <f t="shared" si="21"/>
        <v>0</v>
      </c>
      <c r="F104" s="68">
        <f t="shared" si="22"/>
        <v>0</v>
      </c>
      <c r="G104" s="68">
        <f t="shared" si="23"/>
        <v>0</v>
      </c>
      <c r="H104" s="128">
        <f t="shared" si="16"/>
        <v>0</v>
      </c>
      <c r="I104" s="137">
        <f t="shared" si="24"/>
        <v>0</v>
      </c>
      <c r="J104" s="67">
        <f t="shared" si="17"/>
        <v>0</v>
      </c>
      <c r="K104" s="67"/>
      <c r="L104" s="130"/>
      <c r="M104" s="67">
        <f t="shared" si="18"/>
        <v>0</v>
      </c>
      <c r="N104" s="130"/>
      <c r="O104" s="67">
        <f t="shared" si="19"/>
        <v>0</v>
      </c>
      <c r="P104" s="67">
        <f t="shared" si="20"/>
        <v>0</v>
      </c>
    </row>
    <row r="105" spans="1:16">
      <c r="B105" t="str">
        <f t="shared" si="15"/>
        <v/>
      </c>
      <c r="C105" s="62">
        <f>IF(D94="","-",+C104+1)</f>
        <v>2023</v>
      </c>
      <c r="D105" s="63">
        <f>IF(F104+SUM(E$100:E104)=D$93,F104,D$93-SUM(E$100:E104))</f>
        <v>0</v>
      </c>
      <c r="E105" s="69">
        <f t="shared" si="21"/>
        <v>0</v>
      </c>
      <c r="F105" s="68">
        <f t="shared" si="22"/>
        <v>0</v>
      </c>
      <c r="G105" s="68">
        <f t="shared" si="23"/>
        <v>0</v>
      </c>
      <c r="H105" s="128">
        <f t="shared" si="16"/>
        <v>0</v>
      </c>
      <c r="I105" s="137">
        <f t="shared" si="24"/>
        <v>0</v>
      </c>
      <c r="J105" s="67">
        <f t="shared" si="17"/>
        <v>0</v>
      </c>
      <c r="K105" s="67"/>
      <c r="L105" s="130"/>
      <c r="M105" s="67">
        <f t="shared" si="18"/>
        <v>0</v>
      </c>
      <c r="N105" s="130"/>
      <c r="O105" s="67">
        <f t="shared" si="19"/>
        <v>0</v>
      </c>
      <c r="P105" s="67">
        <f t="shared" si="20"/>
        <v>0</v>
      </c>
    </row>
    <row r="106" spans="1:16">
      <c r="B106" t="str">
        <f t="shared" si="15"/>
        <v/>
      </c>
      <c r="C106" s="62">
        <f>IF(D94="","-",+C105+1)</f>
        <v>2024</v>
      </c>
      <c r="D106" s="63">
        <f>IF(F105+SUM(E$100:E105)=D$93,F105,D$93-SUM(E$100:E105))</f>
        <v>0</v>
      </c>
      <c r="E106" s="69">
        <f t="shared" si="21"/>
        <v>0</v>
      </c>
      <c r="F106" s="68">
        <f t="shared" si="22"/>
        <v>0</v>
      </c>
      <c r="G106" s="68">
        <f t="shared" si="23"/>
        <v>0</v>
      </c>
      <c r="H106" s="128">
        <f t="shared" si="16"/>
        <v>0</v>
      </c>
      <c r="I106" s="137">
        <f t="shared" si="24"/>
        <v>0</v>
      </c>
      <c r="J106" s="67">
        <f t="shared" si="17"/>
        <v>0</v>
      </c>
      <c r="K106" s="67"/>
      <c r="L106" s="130"/>
      <c r="M106" s="67">
        <f t="shared" si="18"/>
        <v>0</v>
      </c>
      <c r="N106" s="130"/>
      <c r="O106" s="67">
        <f t="shared" si="19"/>
        <v>0</v>
      </c>
      <c r="P106" s="67">
        <f t="shared" si="20"/>
        <v>0</v>
      </c>
    </row>
    <row r="107" spans="1:16">
      <c r="B107" t="str">
        <f t="shared" si="15"/>
        <v/>
      </c>
      <c r="C107" s="62">
        <f>IF(D94="","-",+C106+1)</f>
        <v>2025</v>
      </c>
      <c r="D107" s="63">
        <f>IF(F106+SUM(E$100:E106)=D$93,F106,D$93-SUM(E$100:E106))</f>
        <v>0</v>
      </c>
      <c r="E107" s="69">
        <f t="shared" si="21"/>
        <v>0</v>
      </c>
      <c r="F107" s="68">
        <f t="shared" si="22"/>
        <v>0</v>
      </c>
      <c r="G107" s="68">
        <f t="shared" si="23"/>
        <v>0</v>
      </c>
      <c r="H107" s="128">
        <f t="shared" si="16"/>
        <v>0</v>
      </c>
      <c r="I107" s="137">
        <f t="shared" si="24"/>
        <v>0</v>
      </c>
      <c r="J107" s="67">
        <f t="shared" si="17"/>
        <v>0</v>
      </c>
      <c r="K107" s="67"/>
      <c r="L107" s="130"/>
      <c r="M107" s="67">
        <f t="shared" si="18"/>
        <v>0</v>
      </c>
      <c r="N107" s="130"/>
      <c r="O107" s="67">
        <f t="shared" si="19"/>
        <v>0</v>
      </c>
      <c r="P107" s="67">
        <f t="shared" si="20"/>
        <v>0</v>
      </c>
    </row>
    <row r="108" spans="1:16">
      <c r="B108" t="str">
        <f t="shared" si="15"/>
        <v/>
      </c>
      <c r="C108" s="62">
        <f>IF(D94="","-",+C107+1)</f>
        <v>2026</v>
      </c>
      <c r="D108" s="63">
        <f>IF(F107+SUM(E$100:E107)=D$93,F107,D$93-SUM(E$100:E107))</f>
        <v>0</v>
      </c>
      <c r="E108" s="69">
        <f t="shared" si="21"/>
        <v>0</v>
      </c>
      <c r="F108" s="68">
        <f t="shared" si="22"/>
        <v>0</v>
      </c>
      <c r="G108" s="68">
        <f t="shared" si="23"/>
        <v>0</v>
      </c>
      <c r="H108" s="128">
        <f t="shared" si="16"/>
        <v>0</v>
      </c>
      <c r="I108" s="137">
        <f t="shared" si="24"/>
        <v>0</v>
      </c>
      <c r="J108" s="67">
        <f t="shared" si="17"/>
        <v>0</v>
      </c>
      <c r="K108" s="67"/>
      <c r="L108" s="130"/>
      <c r="M108" s="67">
        <f t="shared" si="18"/>
        <v>0</v>
      </c>
      <c r="N108" s="130"/>
      <c r="O108" s="67">
        <f t="shared" si="19"/>
        <v>0</v>
      </c>
      <c r="P108" s="67">
        <f t="shared" si="20"/>
        <v>0</v>
      </c>
    </row>
    <row r="109" spans="1:16">
      <c r="B109" t="str">
        <f t="shared" si="15"/>
        <v/>
      </c>
      <c r="C109" s="62">
        <f>IF(D94="","-",+C108+1)</f>
        <v>2027</v>
      </c>
      <c r="D109" s="63">
        <f>IF(F108+SUM(E$100:E108)=D$93,F108,D$93-SUM(E$100:E108))</f>
        <v>0</v>
      </c>
      <c r="E109" s="69">
        <f t="shared" si="21"/>
        <v>0</v>
      </c>
      <c r="F109" s="68">
        <f t="shared" si="22"/>
        <v>0</v>
      </c>
      <c r="G109" s="68">
        <f t="shared" si="23"/>
        <v>0</v>
      </c>
      <c r="H109" s="128">
        <f t="shared" si="16"/>
        <v>0</v>
      </c>
      <c r="I109" s="137">
        <f t="shared" si="24"/>
        <v>0</v>
      </c>
      <c r="J109" s="67">
        <f t="shared" si="17"/>
        <v>0</v>
      </c>
      <c r="K109" s="67"/>
      <c r="L109" s="130"/>
      <c r="M109" s="67">
        <f t="shared" si="18"/>
        <v>0</v>
      </c>
      <c r="N109" s="130"/>
      <c r="O109" s="67">
        <f t="shared" si="19"/>
        <v>0</v>
      </c>
      <c r="P109" s="67">
        <f t="shared" si="20"/>
        <v>0</v>
      </c>
    </row>
    <row r="110" spans="1:16">
      <c r="B110" t="str">
        <f t="shared" si="15"/>
        <v/>
      </c>
      <c r="C110" s="62">
        <f>IF(D94="","-",+C109+1)</f>
        <v>2028</v>
      </c>
      <c r="D110" s="63">
        <f>IF(F109+SUM(E$100:E109)=D$93,F109,D$93-SUM(E$100:E109))</f>
        <v>0</v>
      </c>
      <c r="E110" s="69">
        <f t="shared" si="21"/>
        <v>0</v>
      </c>
      <c r="F110" s="68">
        <f t="shared" si="22"/>
        <v>0</v>
      </c>
      <c r="G110" s="68">
        <f t="shared" si="23"/>
        <v>0</v>
      </c>
      <c r="H110" s="128">
        <f t="shared" si="16"/>
        <v>0</v>
      </c>
      <c r="I110" s="137">
        <f t="shared" si="24"/>
        <v>0</v>
      </c>
      <c r="J110" s="67">
        <f t="shared" si="17"/>
        <v>0</v>
      </c>
      <c r="K110" s="67"/>
      <c r="L110" s="130"/>
      <c r="M110" s="67">
        <f t="shared" si="18"/>
        <v>0</v>
      </c>
      <c r="N110" s="130"/>
      <c r="O110" s="67">
        <f t="shared" si="19"/>
        <v>0</v>
      </c>
      <c r="P110" s="67">
        <f t="shared" si="20"/>
        <v>0</v>
      </c>
    </row>
    <row r="111" spans="1:16">
      <c r="B111" t="str">
        <f t="shared" si="15"/>
        <v/>
      </c>
      <c r="C111" s="62">
        <f>IF(D94="","-",+C110+1)</f>
        <v>2029</v>
      </c>
      <c r="D111" s="63">
        <f>IF(F110+SUM(E$100:E110)=D$93,F110,D$93-SUM(E$100:E110))</f>
        <v>0</v>
      </c>
      <c r="E111" s="69">
        <f t="shared" si="21"/>
        <v>0</v>
      </c>
      <c r="F111" s="68">
        <f t="shared" si="22"/>
        <v>0</v>
      </c>
      <c r="G111" s="68">
        <f t="shared" si="23"/>
        <v>0</v>
      </c>
      <c r="H111" s="128">
        <f t="shared" si="16"/>
        <v>0</v>
      </c>
      <c r="I111" s="137">
        <f t="shared" si="24"/>
        <v>0</v>
      </c>
      <c r="J111" s="67">
        <f t="shared" si="17"/>
        <v>0</v>
      </c>
      <c r="K111" s="67"/>
      <c r="L111" s="130"/>
      <c r="M111" s="67">
        <f t="shared" si="18"/>
        <v>0</v>
      </c>
      <c r="N111" s="130"/>
      <c r="O111" s="67">
        <f t="shared" si="19"/>
        <v>0</v>
      </c>
      <c r="P111" s="67">
        <f t="shared" si="20"/>
        <v>0</v>
      </c>
    </row>
    <row r="112" spans="1:16">
      <c r="B112" t="str">
        <f t="shared" si="15"/>
        <v/>
      </c>
      <c r="C112" s="62">
        <f>IF(D94="","-",+C111+1)</f>
        <v>2030</v>
      </c>
      <c r="D112" s="63">
        <f>IF(F111+SUM(E$100:E111)=D$93,F111,D$93-SUM(E$100:E111))</f>
        <v>0</v>
      </c>
      <c r="E112" s="69">
        <f t="shared" si="21"/>
        <v>0</v>
      </c>
      <c r="F112" s="68">
        <f t="shared" si="22"/>
        <v>0</v>
      </c>
      <c r="G112" s="68">
        <f t="shared" si="23"/>
        <v>0</v>
      </c>
      <c r="H112" s="128">
        <f t="shared" si="16"/>
        <v>0</v>
      </c>
      <c r="I112" s="137">
        <f t="shared" si="24"/>
        <v>0</v>
      </c>
      <c r="J112" s="67">
        <f t="shared" si="17"/>
        <v>0</v>
      </c>
      <c r="K112" s="67"/>
      <c r="L112" s="130"/>
      <c r="M112" s="67">
        <f t="shared" si="18"/>
        <v>0</v>
      </c>
      <c r="N112" s="130"/>
      <c r="O112" s="67">
        <f t="shared" si="19"/>
        <v>0</v>
      </c>
      <c r="P112" s="67">
        <f t="shared" si="20"/>
        <v>0</v>
      </c>
    </row>
    <row r="113" spans="2:16">
      <c r="B113" t="str">
        <f t="shared" si="15"/>
        <v/>
      </c>
      <c r="C113" s="62">
        <f>IF(D94="","-",+C112+1)</f>
        <v>2031</v>
      </c>
      <c r="D113" s="63">
        <f>IF(F112+SUM(E$100:E112)=D$93,F112,D$93-SUM(E$100:E112))</f>
        <v>0</v>
      </c>
      <c r="E113" s="69">
        <f t="shared" si="21"/>
        <v>0</v>
      </c>
      <c r="F113" s="68">
        <f t="shared" si="22"/>
        <v>0</v>
      </c>
      <c r="G113" s="68">
        <f t="shared" si="23"/>
        <v>0</v>
      </c>
      <c r="H113" s="128">
        <f t="shared" si="16"/>
        <v>0</v>
      </c>
      <c r="I113" s="137">
        <f t="shared" si="24"/>
        <v>0</v>
      </c>
      <c r="J113" s="67">
        <f t="shared" si="17"/>
        <v>0</v>
      </c>
      <c r="K113" s="67"/>
      <c r="L113" s="130"/>
      <c r="M113" s="67">
        <f t="shared" si="18"/>
        <v>0</v>
      </c>
      <c r="N113" s="130"/>
      <c r="O113" s="67">
        <f t="shared" si="19"/>
        <v>0</v>
      </c>
      <c r="P113" s="67">
        <f t="shared" si="20"/>
        <v>0</v>
      </c>
    </row>
    <row r="114" spans="2:16">
      <c r="B114" t="str">
        <f t="shared" si="15"/>
        <v/>
      </c>
      <c r="C114" s="62">
        <f>IF(D94="","-",+C113+1)</f>
        <v>2032</v>
      </c>
      <c r="D114" s="63">
        <f>IF(F113+SUM(E$100:E113)=D$93,F113,D$93-SUM(E$100:E113))</f>
        <v>0</v>
      </c>
      <c r="E114" s="69">
        <f t="shared" si="21"/>
        <v>0</v>
      </c>
      <c r="F114" s="68">
        <f t="shared" si="22"/>
        <v>0</v>
      </c>
      <c r="G114" s="68">
        <f t="shared" si="23"/>
        <v>0</v>
      </c>
      <c r="H114" s="128">
        <f t="shared" si="16"/>
        <v>0</v>
      </c>
      <c r="I114" s="137">
        <f t="shared" si="24"/>
        <v>0</v>
      </c>
      <c r="J114" s="67">
        <f t="shared" si="17"/>
        <v>0</v>
      </c>
      <c r="K114" s="67"/>
      <c r="L114" s="130"/>
      <c r="M114" s="67">
        <f t="shared" si="18"/>
        <v>0</v>
      </c>
      <c r="N114" s="130"/>
      <c r="O114" s="67">
        <f t="shared" si="19"/>
        <v>0</v>
      </c>
      <c r="P114" s="67">
        <f t="shared" si="20"/>
        <v>0</v>
      </c>
    </row>
    <row r="115" spans="2:16">
      <c r="B115" t="str">
        <f t="shared" si="15"/>
        <v/>
      </c>
      <c r="C115" s="62">
        <f>IF(D94="","-",+C114+1)</f>
        <v>2033</v>
      </c>
      <c r="D115" s="63">
        <f>IF(F114+SUM(E$100:E114)=D$93,F114,D$93-SUM(E$100:E114))</f>
        <v>0</v>
      </c>
      <c r="E115" s="69">
        <f t="shared" si="21"/>
        <v>0</v>
      </c>
      <c r="F115" s="68">
        <f t="shared" si="22"/>
        <v>0</v>
      </c>
      <c r="G115" s="68">
        <f t="shared" si="23"/>
        <v>0</v>
      </c>
      <c r="H115" s="128">
        <f t="shared" si="16"/>
        <v>0</v>
      </c>
      <c r="I115" s="137">
        <f t="shared" si="24"/>
        <v>0</v>
      </c>
      <c r="J115" s="67">
        <f t="shared" si="17"/>
        <v>0</v>
      </c>
      <c r="K115" s="67"/>
      <c r="L115" s="130"/>
      <c r="M115" s="67">
        <f t="shared" si="18"/>
        <v>0</v>
      </c>
      <c r="N115" s="130"/>
      <c r="O115" s="67">
        <f t="shared" si="19"/>
        <v>0</v>
      </c>
      <c r="P115" s="67">
        <f t="shared" si="20"/>
        <v>0</v>
      </c>
    </row>
    <row r="116" spans="2:16">
      <c r="B116" t="str">
        <f t="shared" si="15"/>
        <v/>
      </c>
      <c r="C116" s="62">
        <f>IF(D94="","-",+C115+1)</f>
        <v>2034</v>
      </c>
      <c r="D116" s="63">
        <f>IF(F115+SUM(E$100:E115)=D$93,F115,D$93-SUM(E$100:E115))</f>
        <v>0</v>
      </c>
      <c r="E116" s="69">
        <f t="shared" si="21"/>
        <v>0</v>
      </c>
      <c r="F116" s="68">
        <f t="shared" si="22"/>
        <v>0</v>
      </c>
      <c r="G116" s="68">
        <f t="shared" si="23"/>
        <v>0</v>
      </c>
      <c r="H116" s="128">
        <f t="shared" si="16"/>
        <v>0</v>
      </c>
      <c r="I116" s="137">
        <f t="shared" si="24"/>
        <v>0</v>
      </c>
      <c r="J116" s="67">
        <f t="shared" si="17"/>
        <v>0</v>
      </c>
      <c r="K116" s="67"/>
      <c r="L116" s="130"/>
      <c r="M116" s="67">
        <f t="shared" si="18"/>
        <v>0</v>
      </c>
      <c r="N116" s="130"/>
      <c r="O116" s="67">
        <f t="shared" si="19"/>
        <v>0</v>
      </c>
      <c r="P116" s="67">
        <f t="shared" si="20"/>
        <v>0</v>
      </c>
    </row>
    <row r="117" spans="2:16">
      <c r="B117" t="str">
        <f t="shared" si="15"/>
        <v/>
      </c>
      <c r="C117" s="62">
        <f>IF(D94="","-",+C116+1)</f>
        <v>2035</v>
      </c>
      <c r="D117" s="63">
        <f>IF(F116+SUM(E$100:E116)=D$93,F116,D$93-SUM(E$100:E116))</f>
        <v>0</v>
      </c>
      <c r="E117" s="69">
        <f t="shared" si="21"/>
        <v>0</v>
      </c>
      <c r="F117" s="68">
        <f t="shared" si="22"/>
        <v>0</v>
      </c>
      <c r="G117" s="68">
        <f t="shared" si="23"/>
        <v>0</v>
      </c>
      <c r="H117" s="128">
        <f t="shared" si="16"/>
        <v>0</v>
      </c>
      <c r="I117" s="137">
        <f t="shared" si="24"/>
        <v>0</v>
      </c>
      <c r="J117" s="67">
        <f t="shared" si="17"/>
        <v>0</v>
      </c>
      <c r="K117" s="67"/>
      <c r="L117" s="130"/>
      <c r="M117" s="67">
        <f t="shared" si="18"/>
        <v>0</v>
      </c>
      <c r="N117" s="130"/>
      <c r="O117" s="67">
        <f t="shared" si="19"/>
        <v>0</v>
      </c>
      <c r="P117" s="67">
        <f t="shared" si="20"/>
        <v>0</v>
      </c>
    </row>
    <row r="118" spans="2:16">
      <c r="B118" t="str">
        <f t="shared" si="15"/>
        <v/>
      </c>
      <c r="C118" s="62">
        <f>IF(D94="","-",+C117+1)</f>
        <v>2036</v>
      </c>
      <c r="D118" s="63">
        <f>IF(F117+SUM(E$100:E117)=D$93,F117,D$93-SUM(E$100:E117))</f>
        <v>0</v>
      </c>
      <c r="E118" s="69">
        <f t="shared" si="21"/>
        <v>0</v>
      </c>
      <c r="F118" s="68">
        <f t="shared" si="22"/>
        <v>0</v>
      </c>
      <c r="G118" s="68">
        <f t="shared" si="23"/>
        <v>0</v>
      </c>
      <c r="H118" s="128">
        <f t="shared" si="16"/>
        <v>0</v>
      </c>
      <c r="I118" s="137">
        <f t="shared" si="24"/>
        <v>0</v>
      </c>
      <c r="J118" s="67">
        <f t="shared" si="17"/>
        <v>0</v>
      </c>
      <c r="K118" s="67"/>
      <c r="L118" s="130"/>
      <c r="M118" s="67">
        <f t="shared" si="18"/>
        <v>0</v>
      </c>
      <c r="N118" s="130"/>
      <c r="O118" s="67">
        <f t="shared" si="19"/>
        <v>0</v>
      </c>
      <c r="P118" s="67">
        <f t="shared" si="20"/>
        <v>0</v>
      </c>
    </row>
    <row r="119" spans="2:16">
      <c r="B119" t="str">
        <f t="shared" si="15"/>
        <v/>
      </c>
      <c r="C119" s="62">
        <f>IF(D94="","-",+C118+1)</f>
        <v>2037</v>
      </c>
      <c r="D119" s="63">
        <f>IF(F118+SUM(E$100:E118)=D$93,F118,D$93-SUM(E$100:E118))</f>
        <v>0</v>
      </c>
      <c r="E119" s="69">
        <f t="shared" si="21"/>
        <v>0</v>
      </c>
      <c r="F119" s="68">
        <f t="shared" si="22"/>
        <v>0</v>
      </c>
      <c r="G119" s="68">
        <f t="shared" si="23"/>
        <v>0</v>
      </c>
      <c r="H119" s="128">
        <f t="shared" si="16"/>
        <v>0</v>
      </c>
      <c r="I119" s="137">
        <f t="shared" si="24"/>
        <v>0</v>
      </c>
      <c r="J119" s="67">
        <f t="shared" si="17"/>
        <v>0</v>
      </c>
      <c r="K119" s="67"/>
      <c r="L119" s="130"/>
      <c r="M119" s="67">
        <f t="shared" si="18"/>
        <v>0</v>
      </c>
      <c r="N119" s="130"/>
      <c r="O119" s="67">
        <f t="shared" si="19"/>
        <v>0</v>
      </c>
      <c r="P119" s="67">
        <f t="shared" si="20"/>
        <v>0</v>
      </c>
    </row>
    <row r="120" spans="2:16">
      <c r="B120" t="str">
        <f t="shared" si="15"/>
        <v/>
      </c>
      <c r="C120" s="62">
        <f>IF(D94="","-",+C119+1)</f>
        <v>2038</v>
      </c>
      <c r="D120" s="63">
        <f>IF(F119+SUM(E$100:E119)=D$93,F119,D$93-SUM(E$100:E119))</f>
        <v>0</v>
      </c>
      <c r="E120" s="69">
        <f t="shared" si="21"/>
        <v>0</v>
      </c>
      <c r="F120" s="68">
        <f t="shared" si="22"/>
        <v>0</v>
      </c>
      <c r="G120" s="68">
        <f t="shared" si="23"/>
        <v>0</v>
      </c>
      <c r="H120" s="128">
        <f t="shared" si="16"/>
        <v>0</v>
      </c>
      <c r="I120" s="137">
        <f t="shared" si="24"/>
        <v>0</v>
      </c>
      <c r="J120" s="67">
        <f t="shared" si="17"/>
        <v>0</v>
      </c>
      <c r="K120" s="67"/>
      <c r="L120" s="130"/>
      <c r="M120" s="67">
        <f t="shared" si="18"/>
        <v>0</v>
      </c>
      <c r="N120" s="130"/>
      <c r="O120" s="67">
        <f t="shared" si="19"/>
        <v>0</v>
      </c>
      <c r="P120" s="67">
        <f t="shared" si="20"/>
        <v>0</v>
      </c>
    </row>
    <row r="121" spans="2:16">
      <c r="B121" t="str">
        <f t="shared" si="15"/>
        <v/>
      </c>
      <c r="C121" s="62">
        <f>IF(D94="","-",+C120+1)</f>
        <v>2039</v>
      </c>
      <c r="D121" s="63">
        <f>IF(F120+SUM(E$100:E120)=D$93,F120,D$93-SUM(E$100:E120))</f>
        <v>0</v>
      </c>
      <c r="E121" s="69">
        <f t="shared" si="21"/>
        <v>0</v>
      </c>
      <c r="F121" s="68">
        <f t="shared" si="22"/>
        <v>0</v>
      </c>
      <c r="G121" s="68">
        <f t="shared" si="23"/>
        <v>0</v>
      </c>
      <c r="H121" s="128">
        <f t="shared" si="16"/>
        <v>0</v>
      </c>
      <c r="I121" s="137">
        <f t="shared" si="24"/>
        <v>0</v>
      </c>
      <c r="J121" s="67">
        <f t="shared" si="17"/>
        <v>0</v>
      </c>
      <c r="K121" s="67"/>
      <c r="L121" s="130"/>
      <c r="M121" s="67">
        <f t="shared" si="18"/>
        <v>0</v>
      </c>
      <c r="N121" s="130"/>
      <c r="O121" s="67">
        <f t="shared" si="19"/>
        <v>0</v>
      </c>
      <c r="P121" s="67">
        <f t="shared" si="20"/>
        <v>0</v>
      </c>
    </row>
    <row r="122" spans="2:16">
      <c r="B122" t="str">
        <f t="shared" si="15"/>
        <v/>
      </c>
      <c r="C122" s="62">
        <f>IF(D94="","-",+C121+1)</f>
        <v>2040</v>
      </c>
      <c r="D122" s="63">
        <f>IF(F121+SUM(E$100:E121)=D$93,F121,D$93-SUM(E$100:E121))</f>
        <v>0</v>
      </c>
      <c r="E122" s="69">
        <f t="shared" si="21"/>
        <v>0</v>
      </c>
      <c r="F122" s="68">
        <f t="shared" si="22"/>
        <v>0</v>
      </c>
      <c r="G122" s="68">
        <f t="shared" si="23"/>
        <v>0</v>
      </c>
      <c r="H122" s="128">
        <f t="shared" si="16"/>
        <v>0</v>
      </c>
      <c r="I122" s="137">
        <f t="shared" si="24"/>
        <v>0</v>
      </c>
      <c r="J122" s="67">
        <f t="shared" si="17"/>
        <v>0</v>
      </c>
      <c r="K122" s="67"/>
      <c r="L122" s="130"/>
      <c r="M122" s="67">
        <f t="shared" si="18"/>
        <v>0</v>
      </c>
      <c r="N122" s="130"/>
      <c r="O122" s="67">
        <f t="shared" si="19"/>
        <v>0</v>
      </c>
      <c r="P122" s="67">
        <f t="shared" si="20"/>
        <v>0</v>
      </c>
    </row>
    <row r="123" spans="2:16">
      <c r="B123" t="str">
        <f t="shared" si="15"/>
        <v/>
      </c>
      <c r="C123" s="62">
        <f>IF(D94="","-",+C122+1)</f>
        <v>2041</v>
      </c>
      <c r="D123" s="63">
        <f>IF(F122+SUM(E$100:E122)=D$93,F122,D$93-SUM(E$100:E122))</f>
        <v>0</v>
      </c>
      <c r="E123" s="69">
        <f t="shared" si="21"/>
        <v>0</v>
      </c>
      <c r="F123" s="68">
        <f t="shared" si="22"/>
        <v>0</v>
      </c>
      <c r="G123" s="68">
        <f t="shared" si="23"/>
        <v>0</v>
      </c>
      <c r="H123" s="128">
        <f t="shared" si="16"/>
        <v>0</v>
      </c>
      <c r="I123" s="137">
        <f t="shared" si="24"/>
        <v>0</v>
      </c>
      <c r="J123" s="67">
        <f t="shared" si="17"/>
        <v>0</v>
      </c>
      <c r="K123" s="67"/>
      <c r="L123" s="130"/>
      <c r="M123" s="67">
        <f t="shared" si="18"/>
        <v>0</v>
      </c>
      <c r="N123" s="130"/>
      <c r="O123" s="67">
        <f t="shared" si="19"/>
        <v>0</v>
      </c>
      <c r="P123" s="67">
        <f t="shared" si="20"/>
        <v>0</v>
      </c>
    </row>
    <row r="124" spans="2:16">
      <c r="B124" t="str">
        <f t="shared" si="15"/>
        <v/>
      </c>
      <c r="C124" s="62">
        <f>IF(D94="","-",+C123+1)</f>
        <v>2042</v>
      </c>
      <c r="D124" s="63">
        <f>IF(F123+SUM(E$100:E123)=D$93,F123,D$93-SUM(E$100:E123))</f>
        <v>0</v>
      </c>
      <c r="E124" s="69">
        <f t="shared" si="21"/>
        <v>0</v>
      </c>
      <c r="F124" s="68">
        <f t="shared" si="22"/>
        <v>0</v>
      </c>
      <c r="G124" s="68">
        <f t="shared" si="23"/>
        <v>0</v>
      </c>
      <c r="H124" s="128">
        <f t="shared" si="16"/>
        <v>0</v>
      </c>
      <c r="I124" s="137">
        <f t="shared" si="24"/>
        <v>0</v>
      </c>
      <c r="J124" s="67">
        <f t="shared" si="17"/>
        <v>0</v>
      </c>
      <c r="K124" s="67"/>
      <c r="L124" s="130"/>
      <c r="M124" s="67">
        <f t="shared" si="18"/>
        <v>0</v>
      </c>
      <c r="N124" s="130"/>
      <c r="O124" s="67">
        <f t="shared" si="19"/>
        <v>0</v>
      </c>
      <c r="P124" s="67">
        <f t="shared" si="20"/>
        <v>0</v>
      </c>
    </row>
    <row r="125" spans="2:16">
      <c r="B125" t="str">
        <f t="shared" si="15"/>
        <v/>
      </c>
      <c r="C125" s="62">
        <f>IF(D94="","-",+C124+1)</f>
        <v>2043</v>
      </c>
      <c r="D125" s="63">
        <f>IF(F124+SUM(E$100:E124)=D$93,F124,D$93-SUM(E$100:E124))</f>
        <v>0</v>
      </c>
      <c r="E125" s="69">
        <f t="shared" si="21"/>
        <v>0</v>
      </c>
      <c r="F125" s="68">
        <f t="shared" si="22"/>
        <v>0</v>
      </c>
      <c r="G125" s="68">
        <f t="shared" si="23"/>
        <v>0</v>
      </c>
      <c r="H125" s="128">
        <f t="shared" si="16"/>
        <v>0</v>
      </c>
      <c r="I125" s="137">
        <f t="shared" si="24"/>
        <v>0</v>
      </c>
      <c r="J125" s="67">
        <f t="shared" si="17"/>
        <v>0</v>
      </c>
      <c r="K125" s="67"/>
      <c r="L125" s="130"/>
      <c r="M125" s="67">
        <f t="shared" si="18"/>
        <v>0</v>
      </c>
      <c r="N125" s="130"/>
      <c r="O125" s="67">
        <f t="shared" si="19"/>
        <v>0</v>
      </c>
      <c r="P125" s="67">
        <f t="shared" si="20"/>
        <v>0</v>
      </c>
    </row>
    <row r="126" spans="2:16">
      <c r="B126" t="str">
        <f t="shared" si="15"/>
        <v/>
      </c>
      <c r="C126" s="62">
        <f>IF(D94="","-",+C125+1)</f>
        <v>2044</v>
      </c>
      <c r="D126" s="63">
        <f>IF(F125+SUM(E$100:E125)=D$93,F125,D$93-SUM(E$100:E125))</f>
        <v>0</v>
      </c>
      <c r="E126" s="69">
        <f t="shared" si="21"/>
        <v>0</v>
      </c>
      <c r="F126" s="68">
        <f t="shared" si="22"/>
        <v>0</v>
      </c>
      <c r="G126" s="68">
        <f t="shared" si="23"/>
        <v>0</v>
      </c>
      <c r="H126" s="128">
        <f t="shared" si="16"/>
        <v>0</v>
      </c>
      <c r="I126" s="137">
        <f t="shared" si="24"/>
        <v>0</v>
      </c>
      <c r="J126" s="67">
        <f t="shared" si="17"/>
        <v>0</v>
      </c>
      <c r="K126" s="67"/>
      <c r="L126" s="130"/>
      <c r="M126" s="67">
        <f t="shared" si="18"/>
        <v>0</v>
      </c>
      <c r="N126" s="130"/>
      <c r="O126" s="67">
        <f t="shared" si="19"/>
        <v>0</v>
      </c>
      <c r="P126" s="67">
        <f t="shared" si="20"/>
        <v>0</v>
      </c>
    </row>
    <row r="127" spans="2:16">
      <c r="B127" t="str">
        <f t="shared" si="15"/>
        <v/>
      </c>
      <c r="C127" s="62">
        <f>IF(D94="","-",+C126+1)</f>
        <v>2045</v>
      </c>
      <c r="D127" s="63">
        <f>IF(F126+SUM(E$100:E126)=D$93,F126,D$93-SUM(E$100:E126))</f>
        <v>0</v>
      </c>
      <c r="E127" s="69">
        <f t="shared" si="21"/>
        <v>0</v>
      </c>
      <c r="F127" s="68">
        <f t="shared" si="22"/>
        <v>0</v>
      </c>
      <c r="G127" s="68">
        <f t="shared" si="23"/>
        <v>0</v>
      </c>
      <c r="H127" s="128">
        <f t="shared" si="16"/>
        <v>0</v>
      </c>
      <c r="I127" s="137">
        <f t="shared" si="24"/>
        <v>0</v>
      </c>
      <c r="J127" s="67">
        <f t="shared" si="17"/>
        <v>0</v>
      </c>
      <c r="K127" s="67"/>
      <c r="L127" s="130"/>
      <c r="M127" s="67">
        <f t="shared" si="18"/>
        <v>0</v>
      </c>
      <c r="N127" s="130"/>
      <c r="O127" s="67">
        <f t="shared" si="19"/>
        <v>0</v>
      </c>
      <c r="P127" s="67">
        <f t="shared" si="20"/>
        <v>0</v>
      </c>
    </row>
    <row r="128" spans="2:16">
      <c r="B128" t="str">
        <f t="shared" si="15"/>
        <v/>
      </c>
      <c r="C128" s="62">
        <f>IF(D94="","-",+C127+1)</f>
        <v>2046</v>
      </c>
      <c r="D128" s="63">
        <f>IF(F127+SUM(E$100:E127)=D$93,F127,D$93-SUM(E$100:E127))</f>
        <v>0</v>
      </c>
      <c r="E128" s="69">
        <f t="shared" si="21"/>
        <v>0</v>
      </c>
      <c r="F128" s="68">
        <f t="shared" si="22"/>
        <v>0</v>
      </c>
      <c r="G128" s="68">
        <f t="shared" si="23"/>
        <v>0</v>
      </c>
      <c r="H128" s="128">
        <f t="shared" si="16"/>
        <v>0</v>
      </c>
      <c r="I128" s="137">
        <f t="shared" si="24"/>
        <v>0</v>
      </c>
      <c r="J128" s="67">
        <f t="shared" si="17"/>
        <v>0</v>
      </c>
      <c r="K128" s="67"/>
      <c r="L128" s="130"/>
      <c r="M128" s="67">
        <f t="shared" si="18"/>
        <v>0</v>
      </c>
      <c r="N128" s="130"/>
      <c r="O128" s="67">
        <f t="shared" si="19"/>
        <v>0</v>
      </c>
      <c r="P128" s="67">
        <f t="shared" si="20"/>
        <v>0</v>
      </c>
    </row>
    <row r="129" spans="2:16">
      <c r="B129" t="str">
        <f t="shared" si="15"/>
        <v/>
      </c>
      <c r="C129" s="62">
        <f>IF(D94="","-",+C128+1)</f>
        <v>2047</v>
      </c>
      <c r="D129" s="63">
        <f>IF(F128+SUM(E$100:E128)=D$93,F128,D$93-SUM(E$100:E128))</f>
        <v>0</v>
      </c>
      <c r="E129" s="69">
        <f t="shared" si="21"/>
        <v>0</v>
      </c>
      <c r="F129" s="68">
        <f t="shared" si="22"/>
        <v>0</v>
      </c>
      <c r="G129" s="68">
        <f t="shared" si="23"/>
        <v>0</v>
      </c>
      <c r="H129" s="128">
        <f t="shared" si="16"/>
        <v>0</v>
      </c>
      <c r="I129" s="137">
        <f t="shared" si="24"/>
        <v>0</v>
      </c>
      <c r="J129" s="67">
        <f t="shared" si="17"/>
        <v>0</v>
      </c>
      <c r="K129" s="67"/>
      <c r="L129" s="130"/>
      <c r="M129" s="67">
        <f t="shared" si="18"/>
        <v>0</v>
      </c>
      <c r="N129" s="130"/>
      <c r="O129" s="67">
        <f t="shared" si="19"/>
        <v>0</v>
      </c>
      <c r="P129" s="67">
        <f t="shared" si="20"/>
        <v>0</v>
      </c>
    </row>
    <row r="130" spans="2:16">
      <c r="B130" t="str">
        <f t="shared" si="15"/>
        <v/>
      </c>
      <c r="C130" s="62">
        <f>IF(D94="","-",+C129+1)</f>
        <v>2048</v>
      </c>
      <c r="D130" s="63">
        <f>IF(F129+SUM(E$100:E129)=D$93,F129,D$93-SUM(E$100:E129))</f>
        <v>0</v>
      </c>
      <c r="E130" s="69">
        <f t="shared" si="21"/>
        <v>0</v>
      </c>
      <c r="F130" s="68">
        <f t="shared" si="22"/>
        <v>0</v>
      </c>
      <c r="G130" s="68">
        <f t="shared" si="23"/>
        <v>0</v>
      </c>
      <c r="H130" s="128">
        <f t="shared" si="16"/>
        <v>0</v>
      </c>
      <c r="I130" s="137">
        <f t="shared" si="24"/>
        <v>0</v>
      </c>
      <c r="J130" s="67">
        <f t="shared" si="17"/>
        <v>0</v>
      </c>
      <c r="K130" s="67"/>
      <c r="L130" s="130"/>
      <c r="M130" s="67">
        <f t="shared" si="18"/>
        <v>0</v>
      </c>
      <c r="N130" s="130"/>
      <c r="O130" s="67">
        <f t="shared" si="19"/>
        <v>0</v>
      </c>
      <c r="P130" s="67">
        <f t="shared" si="20"/>
        <v>0</v>
      </c>
    </row>
    <row r="131" spans="2:16">
      <c r="B131" t="str">
        <f t="shared" si="15"/>
        <v/>
      </c>
      <c r="C131" s="62">
        <f>IF(D94="","-",+C130+1)</f>
        <v>2049</v>
      </c>
      <c r="D131" s="63">
        <f>IF(F130+SUM(E$100:E130)=D$93,F130,D$93-SUM(E$100:E130))</f>
        <v>0</v>
      </c>
      <c r="E131" s="69">
        <f t="shared" si="21"/>
        <v>0</v>
      </c>
      <c r="F131" s="68">
        <f t="shared" si="22"/>
        <v>0</v>
      </c>
      <c r="G131" s="68">
        <f t="shared" si="23"/>
        <v>0</v>
      </c>
      <c r="H131" s="128">
        <f t="shared" si="16"/>
        <v>0</v>
      </c>
      <c r="I131" s="137">
        <f t="shared" si="24"/>
        <v>0</v>
      </c>
      <c r="J131" s="67">
        <f t="shared" si="17"/>
        <v>0</v>
      </c>
      <c r="K131" s="67"/>
      <c r="L131" s="130"/>
      <c r="M131" s="67">
        <f t="shared" si="18"/>
        <v>0</v>
      </c>
      <c r="N131" s="130"/>
      <c r="O131" s="67">
        <f t="shared" si="19"/>
        <v>0</v>
      </c>
      <c r="P131" s="67">
        <f t="shared" si="20"/>
        <v>0</v>
      </c>
    </row>
    <row r="132" spans="2:16">
      <c r="B132" t="str">
        <f t="shared" si="15"/>
        <v/>
      </c>
      <c r="C132" s="62">
        <f>IF(D94="","-",+C131+1)</f>
        <v>2050</v>
      </c>
      <c r="D132" s="63">
        <f>IF(F131+SUM(E$100:E131)=D$93,F131,D$93-SUM(E$100:E131))</f>
        <v>0</v>
      </c>
      <c r="E132" s="69">
        <f t="shared" si="21"/>
        <v>0</v>
      </c>
      <c r="F132" s="68">
        <f t="shared" ref="F132:F155" si="25">+D132-E132</f>
        <v>0</v>
      </c>
      <c r="G132" s="68">
        <f t="shared" ref="G132:G155" si="26">+(F132+D132)/2</f>
        <v>0</v>
      </c>
      <c r="H132" s="128">
        <f t="shared" si="16"/>
        <v>0</v>
      </c>
      <c r="I132" s="137">
        <f t="shared" si="24"/>
        <v>0</v>
      </c>
      <c r="J132" s="67">
        <f t="shared" ref="J132:J155" si="27">+I542-H542</f>
        <v>0</v>
      </c>
      <c r="K132" s="67"/>
      <c r="L132" s="130"/>
      <c r="M132" s="67">
        <f t="shared" ref="M132:M155" si="28">IF(L542&lt;&gt;0,+H542-L542,0)</f>
        <v>0</v>
      </c>
      <c r="N132" s="130"/>
      <c r="O132" s="67">
        <f t="shared" ref="O132:O155" si="29">IF(N542&lt;&gt;0,+I542-N542,0)</f>
        <v>0</v>
      </c>
      <c r="P132" s="67">
        <f t="shared" ref="P132:P155" si="30">+O542-M542</f>
        <v>0</v>
      </c>
    </row>
    <row r="133" spans="2:16">
      <c r="B133" t="str">
        <f t="shared" si="15"/>
        <v/>
      </c>
      <c r="C133" s="62">
        <f>IF(D94="","-",+C132+1)</f>
        <v>2051</v>
      </c>
      <c r="D133" s="63">
        <f>IF(F132+SUM(E$100:E132)=D$93,F132,D$93-SUM(E$100:E132))</f>
        <v>0</v>
      </c>
      <c r="E133" s="69">
        <f t="shared" ref="E133:E155" si="31">IF(+J$97&lt;F132,J$97,D133)</f>
        <v>0</v>
      </c>
      <c r="F133" s="68">
        <f t="shared" si="25"/>
        <v>0</v>
      </c>
      <c r="G133" s="68">
        <f t="shared" si="26"/>
        <v>0</v>
      </c>
      <c r="H133" s="128">
        <f t="shared" si="16"/>
        <v>0</v>
      </c>
      <c r="I133" s="137">
        <f t="shared" si="24"/>
        <v>0</v>
      </c>
      <c r="J133" s="67">
        <f t="shared" si="27"/>
        <v>0</v>
      </c>
      <c r="K133" s="67"/>
      <c r="L133" s="130"/>
      <c r="M133" s="67">
        <f t="shared" si="28"/>
        <v>0</v>
      </c>
      <c r="N133" s="130"/>
      <c r="O133" s="67">
        <f t="shared" si="29"/>
        <v>0</v>
      </c>
      <c r="P133" s="67">
        <f t="shared" si="30"/>
        <v>0</v>
      </c>
    </row>
    <row r="134" spans="2:16">
      <c r="B134" t="str">
        <f t="shared" si="15"/>
        <v/>
      </c>
      <c r="C134" s="62">
        <f>IF(D94="","-",+C133+1)</f>
        <v>2052</v>
      </c>
      <c r="D134" s="63">
        <f>IF(F133+SUM(E$100:E133)=D$93,F133,D$93-SUM(E$100:E133))</f>
        <v>0</v>
      </c>
      <c r="E134" s="69">
        <f t="shared" si="31"/>
        <v>0</v>
      </c>
      <c r="F134" s="68">
        <f t="shared" si="25"/>
        <v>0</v>
      </c>
      <c r="G134" s="68">
        <f t="shared" si="26"/>
        <v>0</v>
      </c>
      <c r="H134" s="128">
        <f t="shared" si="16"/>
        <v>0</v>
      </c>
      <c r="I134" s="137">
        <f t="shared" si="24"/>
        <v>0</v>
      </c>
      <c r="J134" s="67">
        <f t="shared" si="27"/>
        <v>0</v>
      </c>
      <c r="K134" s="67"/>
      <c r="L134" s="130"/>
      <c r="M134" s="67">
        <f t="shared" si="28"/>
        <v>0</v>
      </c>
      <c r="N134" s="130"/>
      <c r="O134" s="67">
        <f t="shared" si="29"/>
        <v>0</v>
      </c>
      <c r="P134" s="67">
        <f t="shared" si="30"/>
        <v>0</v>
      </c>
    </row>
    <row r="135" spans="2:16">
      <c r="B135" t="str">
        <f t="shared" si="15"/>
        <v/>
      </c>
      <c r="C135" s="62">
        <f>IF(D94="","-",+C134+1)</f>
        <v>2053</v>
      </c>
      <c r="D135" s="63">
        <f>IF(F134+SUM(E$100:E134)=D$93,F134,D$93-SUM(E$100:E134))</f>
        <v>0</v>
      </c>
      <c r="E135" s="69">
        <f t="shared" si="31"/>
        <v>0</v>
      </c>
      <c r="F135" s="68">
        <f t="shared" si="25"/>
        <v>0</v>
      </c>
      <c r="G135" s="68">
        <f t="shared" si="26"/>
        <v>0</v>
      </c>
      <c r="H135" s="128">
        <f t="shared" si="16"/>
        <v>0</v>
      </c>
      <c r="I135" s="137">
        <f t="shared" si="24"/>
        <v>0</v>
      </c>
      <c r="J135" s="67">
        <f t="shared" si="27"/>
        <v>0</v>
      </c>
      <c r="K135" s="67"/>
      <c r="L135" s="130"/>
      <c r="M135" s="67">
        <f t="shared" si="28"/>
        <v>0</v>
      </c>
      <c r="N135" s="130"/>
      <c r="O135" s="67">
        <f t="shared" si="29"/>
        <v>0</v>
      </c>
      <c r="P135" s="67">
        <f t="shared" si="30"/>
        <v>0</v>
      </c>
    </row>
    <row r="136" spans="2:16">
      <c r="B136" t="str">
        <f t="shared" si="15"/>
        <v/>
      </c>
      <c r="C136" s="62">
        <f>IF(D94="","-",+C135+1)</f>
        <v>2054</v>
      </c>
      <c r="D136" s="63">
        <f>IF(F135+SUM(E$100:E135)=D$93,F135,D$93-SUM(E$100:E135))</f>
        <v>0</v>
      </c>
      <c r="E136" s="69">
        <f t="shared" si="31"/>
        <v>0</v>
      </c>
      <c r="F136" s="68">
        <f t="shared" si="25"/>
        <v>0</v>
      </c>
      <c r="G136" s="68">
        <f t="shared" si="26"/>
        <v>0</v>
      </c>
      <c r="H136" s="128">
        <f t="shared" si="16"/>
        <v>0</v>
      </c>
      <c r="I136" s="137">
        <f t="shared" si="24"/>
        <v>0</v>
      </c>
      <c r="J136" s="67">
        <f t="shared" si="27"/>
        <v>0</v>
      </c>
      <c r="K136" s="67"/>
      <c r="L136" s="130"/>
      <c r="M136" s="67">
        <f t="shared" si="28"/>
        <v>0</v>
      </c>
      <c r="N136" s="130"/>
      <c r="O136" s="67">
        <f t="shared" si="29"/>
        <v>0</v>
      </c>
      <c r="P136" s="67">
        <f t="shared" si="30"/>
        <v>0</v>
      </c>
    </row>
    <row r="137" spans="2:16">
      <c r="B137" t="str">
        <f t="shared" si="15"/>
        <v/>
      </c>
      <c r="C137" s="62">
        <f>IF(D94="","-",+C136+1)</f>
        <v>2055</v>
      </c>
      <c r="D137" s="63">
        <f>IF(F136+SUM(E$100:E136)=D$93,F136,D$93-SUM(E$100:E136))</f>
        <v>0</v>
      </c>
      <c r="E137" s="69">
        <f t="shared" si="31"/>
        <v>0</v>
      </c>
      <c r="F137" s="68">
        <f t="shared" si="25"/>
        <v>0</v>
      </c>
      <c r="G137" s="68">
        <f t="shared" si="26"/>
        <v>0</v>
      </c>
      <c r="H137" s="128">
        <f t="shared" si="16"/>
        <v>0</v>
      </c>
      <c r="I137" s="137">
        <f t="shared" si="24"/>
        <v>0</v>
      </c>
      <c r="J137" s="67">
        <f t="shared" si="27"/>
        <v>0</v>
      </c>
      <c r="K137" s="67"/>
      <c r="L137" s="130"/>
      <c r="M137" s="67">
        <f t="shared" si="28"/>
        <v>0</v>
      </c>
      <c r="N137" s="130"/>
      <c r="O137" s="67">
        <f t="shared" si="29"/>
        <v>0</v>
      </c>
      <c r="P137" s="67">
        <f t="shared" si="30"/>
        <v>0</v>
      </c>
    </row>
    <row r="138" spans="2:16">
      <c r="B138" t="str">
        <f t="shared" si="15"/>
        <v/>
      </c>
      <c r="C138" s="62">
        <f>IF(D94="","-",+C137+1)</f>
        <v>2056</v>
      </c>
      <c r="D138" s="63">
        <f>IF(F137+SUM(E$100:E137)=D$93,F137,D$93-SUM(E$100:E137))</f>
        <v>0</v>
      </c>
      <c r="E138" s="69">
        <f t="shared" si="31"/>
        <v>0</v>
      </c>
      <c r="F138" s="68">
        <f t="shared" si="25"/>
        <v>0</v>
      </c>
      <c r="G138" s="68">
        <f t="shared" si="26"/>
        <v>0</v>
      </c>
      <c r="H138" s="128">
        <f t="shared" si="16"/>
        <v>0</v>
      </c>
      <c r="I138" s="137">
        <f t="shared" si="24"/>
        <v>0</v>
      </c>
      <c r="J138" s="67">
        <f t="shared" si="27"/>
        <v>0</v>
      </c>
      <c r="K138" s="67"/>
      <c r="L138" s="130"/>
      <c r="M138" s="67">
        <f t="shared" si="28"/>
        <v>0</v>
      </c>
      <c r="N138" s="130"/>
      <c r="O138" s="67">
        <f t="shared" si="29"/>
        <v>0</v>
      </c>
      <c r="P138" s="67">
        <f t="shared" si="30"/>
        <v>0</v>
      </c>
    </row>
    <row r="139" spans="2:16">
      <c r="B139" t="str">
        <f t="shared" si="15"/>
        <v/>
      </c>
      <c r="C139" s="62">
        <f>IF(D94="","-",+C138+1)</f>
        <v>2057</v>
      </c>
      <c r="D139" s="63">
        <f>IF(F138+SUM(E$100:E138)=D$93,F138,D$93-SUM(E$100:E138))</f>
        <v>0</v>
      </c>
      <c r="E139" s="69">
        <f t="shared" si="31"/>
        <v>0</v>
      </c>
      <c r="F139" s="68">
        <f t="shared" si="25"/>
        <v>0</v>
      </c>
      <c r="G139" s="68">
        <f t="shared" si="26"/>
        <v>0</v>
      </c>
      <c r="H139" s="128">
        <f t="shared" si="16"/>
        <v>0</v>
      </c>
      <c r="I139" s="137">
        <f t="shared" si="24"/>
        <v>0</v>
      </c>
      <c r="J139" s="67">
        <f t="shared" si="27"/>
        <v>0</v>
      </c>
      <c r="K139" s="67"/>
      <c r="L139" s="130"/>
      <c r="M139" s="67">
        <f t="shared" si="28"/>
        <v>0</v>
      </c>
      <c r="N139" s="130"/>
      <c r="O139" s="67">
        <f t="shared" si="29"/>
        <v>0</v>
      </c>
      <c r="P139" s="67">
        <f t="shared" si="30"/>
        <v>0</v>
      </c>
    </row>
    <row r="140" spans="2:16">
      <c r="B140" t="str">
        <f t="shared" si="15"/>
        <v/>
      </c>
      <c r="C140" s="62">
        <f>IF(D94="","-",+C139+1)</f>
        <v>2058</v>
      </c>
      <c r="D140" s="63">
        <f>IF(F139+SUM(E$100:E139)=D$93,F139,D$93-SUM(E$100:E139))</f>
        <v>0</v>
      </c>
      <c r="E140" s="69">
        <f t="shared" si="31"/>
        <v>0</v>
      </c>
      <c r="F140" s="68">
        <f t="shared" si="25"/>
        <v>0</v>
      </c>
      <c r="G140" s="68">
        <f t="shared" si="26"/>
        <v>0</v>
      </c>
      <c r="H140" s="128">
        <f t="shared" si="16"/>
        <v>0</v>
      </c>
      <c r="I140" s="137">
        <f t="shared" si="24"/>
        <v>0</v>
      </c>
      <c r="J140" s="67">
        <f t="shared" si="27"/>
        <v>0</v>
      </c>
      <c r="K140" s="67"/>
      <c r="L140" s="130"/>
      <c r="M140" s="67">
        <f t="shared" si="28"/>
        <v>0</v>
      </c>
      <c r="N140" s="130"/>
      <c r="O140" s="67">
        <f t="shared" si="29"/>
        <v>0</v>
      </c>
      <c r="P140" s="67">
        <f t="shared" si="30"/>
        <v>0</v>
      </c>
    </row>
    <row r="141" spans="2:16">
      <c r="B141" t="str">
        <f t="shared" si="15"/>
        <v/>
      </c>
      <c r="C141" s="62">
        <f>IF(D94="","-",+C140+1)</f>
        <v>2059</v>
      </c>
      <c r="D141" s="63">
        <f>IF(F140+SUM(E$100:E140)=D$93,F140,D$93-SUM(E$100:E140))</f>
        <v>0</v>
      </c>
      <c r="E141" s="69">
        <f t="shared" si="31"/>
        <v>0</v>
      </c>
      <c r="F141" s="68">
        <f t="shared" si="25"/>
        <v>0</v>
      </c>
      <c r="G141" s="68">
        <f t="shared" si="26"/>
        <v>0</v>
      </c>
      <c r="H141" s="128">
        <f t="shared" si="16"/>
        <v>0</v>
      </c>
      <c r="I141" s="137">
        <f t="shared" si="24"/>
        <v>0</v>
      </c>
      <c r="J141" s="67">
        <f t="shared" si="27"/>
        <v>0</v>
      </c>
      <c r="K141" s="67"/>
      <c r="L141" s="130"/>
      <c r="M141" s="67">
        <f t="shared" si="28"/>
        <v>0</v>
      </c>
      <c r="N141" s="130"/>
      <c r="O141" s="67">
        <f t="shared" si="29"/>
        <v>0</v>
      </c>
      <c r="P141" s="67">
        <f t="shared" si="30"/>
        <v>0</v>
      </c>
    </row>
    <row r="142" spans="2:16">
      <c r="B142" t="str">
        <f t="shared" si="15"/>
        <v/>
      </c>
      <c r="C142" s="62">
        <f>IF(D94="","-",+C141+1)</f>
        <v>2060</v>
      </c>
      <c r="D142" s="63">
        <f>IF(F141+SUM(E$100:E141)=D$93,F141,D$93-SUM(E$100:E141))</f>
        <v>0</v>
      </c>
      <c r="E142" s="69">
        <f t="shared" si="31"/>
        <v>0</v>
      </c>
      <c r="F142" s="68">
        <f t="shared" si="25"/>
        <v>0</v>
      </c>
      <c r="G142" s="68">
        <f t="shared" si="26"/>
        <v>0</v>
      </c>
      <c r="H142" s="128">
        <f t="shared" si="16"/>
        <v>0</v>
      </c>
      <c r="I142" s="137">
        <f t="shared" si="24"/>
        <v>0</v>
      </c>
      <c r="J142" s="67">
        <f t="shared" si="27"/>
        <v>0</v>
      </c>
      <c r="K142" s="67"/>
      <c r="L142" s="130"/>
      <c r="M142" s="67">
        <f t="shared" si="28"/>
        <v>0</v>
      </c>
      <c r="N142" s="130"/>
      <c r="O142" s="67">
        <f t="shared" si="29"/>
        <v>0</v>
      </c>
      <c r="P142" s="67">
        <f t="shared" si="30"/>
        <v>0</v>
      </c>
    </row>
    <row r="143" spans="2:16">
      <c r="B143" t="str">
        <f t="shared" si="15"/>
        <v/>
      </c>
      <c r="C143" s="62">
        <f>IF(D94="","-",+C142+1)</f>
        <v>2061</v>
      </c>
      <c r="D143" s="63">
        <f>IF(F142+SUM(E$100:E142)=D$93,F142,D$93-SUM(E$100:E142))</f>
        <v>0</v>
      </c>
      <c r="E143" s="69">
        <f t="shared" si="31"/>
        <v>0</v>
      </c>
      <c r="F143" s="68">
        <f t="shared" si="25"/>
        <v>0</v>
      </c>
      <c r="G143" s="68">
        <f t="shared" si="26"/>
        <v>0</v>
      </c>
      <c r="H143" s="128">
        <f t="shared" si="16"/>
        <v>0</v>
      </c>
      <c r="I143" s="137">
        <f t="shared" si="24"/>
        <v>0</v>
      </c>
      <c r="J143" s="67">
        <f t="shared" si="27"/>
        <v>0</v>
      </c>
      <c r="K143" s="67"/>
      <c r="L143" s="130"/>
      <c r="M143" s="67">
        <f t="shared" si="28"/>
        <v>0</v>
      </c>
      <c r="N143" s="130"/>
      <c r="O143" s="67">
        <f t="shared" si="29"/>
        <v>0</v>
      </c>
      <c r="P143" s="67">
        <f t="shared" si="30"/>
        <v>0</v>
      </c>
    </row>
    <row r="144" spans="2:16">
      <c r="B144" t="str">
        <f t="shared" si="15"/>
        <v/>
      </c>
      <c r="C144" s="62">
        <f>IF(D94="","-",+C143+1)</f>
        <v>2062</v>
      </c>
      <c r="D144" s="63">
        <f>IF(F143+SUM(E$100:E143)=D$93,F143,D$93-SUM(E$100:E143))</f>
        <v>0</v>
      </c>
      <c r="E144" s="69">
        <f t="shared" si="31"/>
        <v>0</v>
      </c>
      <c r="F144" s="68">
        <f t="shared" si="25"/>
        <v>0</v>
      </c>
      <c r="G144" s="68">
        <f t="shared" si="26"/>
        <v>0</v>
      </c>
      <c r="H144" s="128">
        <f t="shared" si="16"/>
        <v>0</v>
      </c>
      <c r="I144" s="137">
        <f t="shared" si="24"/>
        <v>0</v>
      </c>
      <c r="J144" s="67">
        <f t="shared" si="27"/>
        <v>0</v>
      </c>
      <c r="K144" s="67"/>
      <c r="L144" s="130"/>
      <c r="M144" s="67">
        <f t="shared" si="28"/>
        <v>0</v>
      </c>
      <c r="N144" s="130"/>
      <c r="O144" s="67">
        <f t="shared" si="29"/>
        <v>0</v>
      </c>
      <c r="P144" s="67">
        <f t="shared" si="30"/>
        <v>0</v>
      </c>
    </row>
    <row r="145" spans="2:16">
      <c r="B145" t="str">
        <f t="shared" si="15"/>
        <v/>
      </c>
      <c r="C145" s="62">
        <f>IF(D94="","-",+C144+1)</f>
        <v>2063</v>
      </c>
      <c r="D145" s="63">
        <f>IF(F144+SUM(E$100:E144)=D$93,F144,D$93-SUM(E$100:E144))</f>
        <v>0</v>
      </c>
      <c r="E145" s="69">
        <f t="shared" si="31"/>
        <v>0</v>
      </c>
      <c r="F145" s="68">
        <f t="shared" si="25"/>
        <v>0</v>
      </c>
      <c r="G145" s="68">
        <f t="shared" si="26"/>
        <v>0</v>
      </c>
      <c r="H145" s="128">
        <f t="shared" si="16"/>
        <v>0</v>
      </c>
      <c r="I145" s="137">
        <f t="shared" si="24"/>
        <v>0</v>
      </c>
      <c r="J145" s="67">
        <f t="shared" si="27"/>
        <v>0</v>
      </c>
      <c r="K145" s="67"/>
      <c r="L145" s="130"/>
      <c r="M145" s="67">
        <f t="shared" si="28"/>
        <v>0</v>
      </c>
      <c r="N145" s="130"/>
      <c r="O145" s="67">
        <f t="shared" si="29"/>
        <v>0</v>
      </c>
      <c r="P145" s="67">
        <f t="shared" si="30"/>
        <v>0</v>
      </c>
    </row>
    <row r="146" spans="2:16">
      <c r="B146" t="str">
        <f t="shared" si="15"/>
        <v/>
      </c>
      <c r="C146" s="62">
        <f>IF(D94="","-",+C145+1)</f>
        <v>2064</v>
      </c>
      <c r="D146" s="63">
        <f>IF(F145+SUM(E$100:E145)=D$93,F145,D$93-SUM(E$100:E145))</f>
        <v>0</v>
      </c>
      <c r="E146" s="69">
        <f t="shared" si="31"/>
        <v>0</v>
      </c>
      <c r="F146" s="68">
        <f t="shared" si="25"/>
        <v>0</v>
      </c>
      <c r="G146" s="68">
        <f t="shared" si="26"/>
        <v>0</v>
      </c>
      <c r="H146" s="128">
        <f t="shared" si="16"/>
        <v>0</v>
      </c>
      <c r="I146" s="137">
        <f t="shared" si="24"/>
        <v>0</v>
      </c>
      <c r="J146" s="67">
        <f t="shared" si="27"/>
        <v>0</v>
      </c>
      <c r="K146" s="67"/>
      <c r="L146" s="130"/>
      <c r="M146" s="67">
        <f t="shared" si="28"/>
        <v>0</v>
      </c>
      <c r="N146" s="130"/>
      <c r="O146" s="67">
        <f t="shared" si="29"/>
        <v>0</v>
      </c>
      <c r="P146" s="67">
        <f t="shared" si="30"/>
        <v>0</v>
      </c>
    </row>
    <row r="147" spans="2:16">
      <c r="B147" t="str">
        <f t="shared" si="15"/>
        <v/>
      </c>
      <c r="C147" s="62">
        <f>IF(D94="","-",+C146+1)</f>
        <v>2065</v>
      </c>
      <c r="D147" s="63">
        <f>IF(F146+SUM(E$100:E146)=D$93,F146,D$93-SUM(E$100:E146))</f>
        <v>0</v>
      </c>
      <c r="E147" s="69">
        <f t="shared" si="31"/>
        <v>0</v>
      </c>
      <c r="F147" s="68">
        <f t="shared" si="25"/>
        <v>0</v>
      </c>
      <c r="G147" s="68">
        <f t="shared" si="26"/>
        <v>0</v>
      </c>
      <c r="H147" s="128">
        <f t="shared" si="16"/>
        <v>0</v>
      </c>
      <c r="I147" s="137">
        <f t="shared" si="24"/>
        <v>0</v>
      </c>
      <c r="J147" s="67">
        <f t="shared" si="27"/>
        <v>0</v>
      </c>
      <c r="K147" s="67"/>
      <c r="L147" s="130"/>
      <c r="M147" s="67">
        <f t="shared" si="28"/>
        <v>0</v>
      </c>
      <c r="N147" s="130"/>
      <c r="O147" s="67">
        <f t="shared" si="29"/>
        <v>0</v>
      </c>
      <c r="P147" s="67">
        <f t="shared" si="30"/>
        <v>0</v>
      </c>
    </row>
    <row r="148" spans="2:16">
      <c r="B148" t="str">
        <f t="shared" si="15"/>
        <v/>
      </c>
      <c r="C148" s="62">
        <f>IF(D94="","-",+C147+1)</f>
        <v>2066</v>
      </c>
      <c r="D148" s="63">
        <f>IF(F147+SUM(E$100:E147)=D$93,F147,D$93-SUM(E$100:E147))</f>
        <v>0</v>
      </c>
      <c r="E148" s="69">
        <f t="shared" si="31"/>
        <v>0</v>
      </c>
      <c r="F148" s="68">
        <f t="shared" si="25"/>
        <v>0</v>
      </c>
      <c r="G148" s="68">
        <f t="shared" si="26"/>
        <v>0</v>
      </c>
      <c r="H148" s="128">
        <f t="shared" si="16"/>
        <v>0</v>
      </c>
      <c r="I148" s="137">
        <f t="shared" si="24"/>
        <v>0</v>
      </c>
      <c r="J148" s="67">
        <f t="shared" si="27"/>
        <v>0</v>
      </c>
      <c r="K148" s="67"/>
      <c r="L148" s="130"/>
      <c r="M148" s="67">
        <f t="shared" si="28"/>
        <v>0</v>
      </c>
      <c r="N148" s="130"/>
      <c r="O148" s="67">
        <f t="shared" si="29"/>
        <v>0</v>
      </c>
      <c r="P148" s="67">
        <f t="shared" si="30"/>
        <v>0</v>
      </c>
    </row>
    <row r="149" spans="2:16">
      <c r="B149" t="str">
        <f t="shared" si="15"/>
        <v/>
      </c>
      <c r="C149" s="62">
        <f>IF(D94="","-",+C148+1)</f>
        <v>2067</v>
      </c>
      <c r="D149" s="63">
        <f>IF(F148+SUM(E$100:E148)=D$93,F148,D$93-SUM(E$100:E148))</f>
        <v>0</v>
      </c>
      <c r="E149" s="69">
        <f t="shared" si="31"/>
        <v>0</v>
      </c>
      <c r="F149" s="68">
        <f t="shared" si="25"/>
        <v>0</v>
      </c>
      <c r="G149" s="68">
        <f t="shared" si="26"/>
        <v>0</v>
      </c>
      <c r="H149" s="128">
        <f t="shared" si="16"/>
        <v>0</v>
      </c>
      <c r="I149" s="137">
        <f t="shared" si="24"/>
        <v>0</v>
      </c>
      <c r="J149" s="67">
        <f t="shared" si="27"/>
        <v>0</v>
      </c>
      <c r="K149" s="67"/>
      <c r="L149" s="130"/>
      <c r="M149" s="67">
        <f t="shared" si="28"/>
        <v>0</v>
      </c>
      <c r="N149" s="130"/>
      <c r="O149" s="67">
        <f t="shared" si="29"/>
        <v>0</v>
      </c>
      <c r="P149" s="67">
        <f t="shared" si="30"/>
        <v>0</v>
      </c>
    </row>
    <row r="150" spans="2:16">
      <c r="B150" t="str">
        <f t="shared" si="15"/>
        <v/>
      </c>
      <c r="C150" s="62">
        <f>IF(D94="","-",+C149+1)</f>
        <v>2068</v>
      </c>
      <c r="D150" s="63">
        <f>IF(F149+SUM(E$100:E149)=D$93,F149,D$93-SUM(E$100:E149))</f>
        <v>0</v>
      </c>
      <c r="E150" s="69">
        <f t="shared" si="31"/>
        <v>0</v>
      </c>
      <c r="F150" s="68">
        <f t="shared" si="25"/>
        <v>0</v>
      </c>
      <c r="G150" s="68">
        <f t="shared" si="26"/>
        <v>0</v>
      </c>
      <c r="H150" s="128">
        <f t="shared" si="16"/>
        <v>0</v>
      </c>
      <c r="I150" s="137">
        <f t="shared" si="24"/>
        <v>0</v>
      </c>
      <c r="J150" s="67">
        <f t="shared" si="27"/>
        <v>0</v>
      </c>
      <c r="K150" s="67"/>
      <c r="L150" s="130"/>
      <c r="M150" s="67">
        <f t="shared" si="28"/>
        <v>0</v>
      </c>
      <c r="N150" s="130"/>
      <c r="O150" s="67">
        <f t="shared" si="29"/>
        <v>0</v>
      </c>
      <c r="P150" s="67">
        <f t="shared" si="30"/>
        <v>0</v>
      </c>
    </row>
    <row r="151" spans="2:16">
      <c r="B151" t="str">
        <f t="shared" si="15"/>
        <v/>
      </c>
      <c r="C151" s="62">
        <f>IF(D94="","-",+C150+1)</f>
        <v>2069</v>
      </c>
      <c r="D151" s="63">
        <f>IF(F150+SUM(E$100:E150)=D$93,F150,D$93-SUM(E$100:E150))</f>
        <v>0</v>
      </c>
      <c r="E151" s="69">
        <f t="shared" si="31"/>
        <v>0</v>
      </c>
      <c r="F151" s="68">
        <f t="shared" si="25"/>
        <v>0</v>
      </c>
      <c r="G151" s="68">
        <f t="shared" si="26"/>
        <v>0</v>
      </c>
      <c r="H151" s="128">
        <f t="shared" si="16"/>
        <v>0</v>
      </c>
      <c r="I151" s="137">
        <f t="shared" si="24"/>
        <v>0</v>
      </c>
      <c r="J151" s="67">
        <f t="shared" si="27"/>
        <v>0</v>
      </c>
      <c r="K151" s="67"/>
      <c r="L151" s="130"/>
      <c r="M151" s="67">
        <f t="shared" si="28"/>
        <v>0</v>
      </c>
      <c r="N151" s="130"/>
      <c r="O151" s="67">
        <f t="shared" si="29"/>
        <v>0</v>
      </c>
      <c r="P151" s="67">
        <f t="shared" si="30"/>
        <v>0</v>
      </c>
    </row>
    <row r="152" spans="2:16">
      <c r="B152" t="str">
        <f t="shared" si="15"/>
        <v/>
      </c>
      <c r="C152" s="62">
        <f>IF(D94="","-",+C151+1)</f>
        <v>2070</v>
      </c>
      <c r="D152" s="63">
        <f>IF(F151+SUM(E$100:E151)=D$93,F151,D$93-SUM(E$100:E151))</f>
        <v>0</v>
      </c>
      <c r="E152" s="69">
        <f t="shared" si="31"/>
        <v>0</v>
      </c>
      <c r="F152" s="68">
        <f t="shared" si="25"/>
        <v>0</v>
      </c>
      <c r="G152" s="68">
        <f t="shared" si="26"/>
        <v>0</v>
      </c>
      <c r="H152" s="128">
        <f t="shared" si="16"/>
        <v>0</v>
      </c>
      <c r="I152" s="137">
        <f t="shared" si="24"/>
        <v>0</v>
      </c>
      <c r="J152" s="67">
        <f t="shared" si="27"/>
        <v>0</v>
      </c>
      <c r="K152" s="67"/>
      <c r="L152" s="130"/>
      <c r="M152" s="67">
        <f t="shared" si="28"/>
        <v>0</v>
      </c>
      <c r="N152" s="130"/>
      <c r="O152" s="67">
        <f t="shared" si="29"/>
        <v>0</v>
      </c>
      <c r="P152" s="67">
        <f t="shared" si="30"/>
        <v>0</v>
      </c>
    </row>
    <row r="153" spans="2:16">
      <c r="B153" t="str">
        <f t="shared" si="15"/>
        <v/>
      </c>
      <c r="C153" s="62">
        <f>IF(D94="","-",+C152+1)</f>
        <v>2071</v>
      </c>
      <c r="D153" s="63">
        <f>IF(F152+SUM(E$100:E152)=D$93,F152,D$93-SUM(E$100:E152))</f>
        <v>0</v>
      </c>
      <c r="E153" s="69">
        <f t="shared" si="31"/>
        <v>0</v>
      </c>
      <c r="F153" s="68">
        <f t="shared" si="25"/>
        <v>0</v>
      </c>
      <c r="G153" s="68">
        <f t="shared" si="26"/>
        <v>0</v>
      </c>
      <c r="H153" s="128">
        <f t="shared" si="16"/>
        <v>0</v>
      </c>
      <c r="I153" s="137">
        <f t="shared" si="24"/>
        <v>0</v>
      </c>
      <c r="J153" s="67">
        <f t="shared" si="27"/>
        <v>0</v>
      </c>
      <c r="K153" s="67"/>
      <c r="L153" s="130"/>
      <c r="M153" s="67">
        <f t="shared" si="28"/>
        <v>0</v>
      </c>
      <c r="N153" s="130"/>
      <c r="O153" s="67">
        <f t="shared" si="29"/>
        <v>0</v>
      </c>
      <c r="P153" s="67">
        <f t="shared" si="30"/>
        <v>0</v>
      </c>
    </row>
    <row r="154" spans="2:16">
      <c r="B154" t="str">
        <f t="shared" si="15"/>
        <v/>
      </c>
      <c r="C154" s="62">
        <f>IF(D94="","-",+C153+1)</f>
        <v>2072</v>
      </c>
      <c r="D154" s="63">
        <f>IF(F153+SUM(E$100:E153)=D$93,F153,D$93-SUM(E$100:E153))</f>
        <v>0</v>
      </c>
      <c r="E154" s="69">
        <f t="shared" si="31"/>
        <v>0</v>
      </c>
      <c r="F154" s="68">
        <f t="shared" si="25"/>
        <v>0</v>
      </c>
      <c r="G154" s="68">
        <f t="shared" si="26"/>
        <v>0</v>
      </c>
      <c r="H154" s="128">
        <f t="shared" si="16"/>
        <v>0</v>
      </c>
      <c r="I154" s="137">
        <f t="shared" si="24"/>
        <v>0</v>
      </c>
      <c r="J154" s="67">
        <f t="shared" si="27"/>
        <v>0</v>
      </c>
      <c r="K154" s="67"/>
      <c r="L154" s="130"/>
      <c r="M154" s="67">
        <f t="shared" si="28"/>
        <v>0</v>
      </c>
      <c r="N154" s="130"/>
      <c r="O154" s="67">
        <f t="shared" si="29"/>
        <v>0</v>
      </c>
      <c r="P154" s="67">
        <f t="shared" si="30"/>
        <v>0</v>
      </c>
    </row>
    <row r="155" spans="2:16" ht="13.5" thickBot="1">
      <c r="B155" t="str">
        <f t="shared" si="15"/>
        <v/>
      </c>
      <c r="C155" s="73">
        <f>IF(D94="","-",+C154+1)</f>
        <v>2073</v>
      </c>
      <c r="D155" s="99">
        <f>IF(F154+SUM(E$100:E154)=D$93,F154,D$93-SUM(E$100:E154))</f>
        <v>0</v>
      </c>
      <c r="E155" s="75">
        <f t="shared" si="31"/>
        <v>0</v>
      </c>
      <c r="F155" s="74">
        <f t="shared" si="25"/>
        <v>0</v>
      </c>
      <c r="G155" s="74">
        <f t="shared" si="26"/>
        <v>0</v>
      </c>
      <c r="H155" s="138">
        <f t="shared" si="16"/>
        <v>0</v>
      </c>
      <c r="I155" s="139">
        <f t="shared" si="24"/>
        <v>0</v>
      </c>
      <c r="J155" s="78">
        <f t="shared" si="27"/>
        <v>0</v>
      </c>
      <c r="K155" s="67"/>
      <c r="L155" s="131"/>
      <c r="M155" s="78">
        <f t="shared" si="28"/>
        <v>0</v>
      </c>
      <c r="N155" s="131"/>
      <c r="O155" s="78">
        <f t="shared" si="29"/>
        <v>0</v>
      </c>
      <c r="P155" s="78">
        <f t="shared" si="30"/>
        <v>0</v>
      </c>
    </row>
    <row r="156" spans="2:16">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c r="C157" t="s">
        <v>90</v>
      </c>
      <c r="D157" s="2"/>
      <c r="E157" s="1"/>
      <c r="F157" s="1"/>
      <c r="G157" s="1"/>
      <c r="H157" s="1"/>
      <c r="I157" s="3"/>
      <c r="J157" s="3"/>
      <c r="K157" s="19"/>
      <c r="L157" s="3"/>
      <c r="M157" s="3"/>
      <c r="N157" s="3"/>
      <c r="O157" s="3"/>
      <c r="P157" s="1"/>
    </row>
    <row r="158" spans="2:16">
      <c r="C158" s="100"/>
      <c r="D158" s="2"/>
      <c r="E158" s="1"/>
      <c r="F158" s="1"/>
      <c r="G158" s="1"/>
      <c r="H158" s="1"/>
      <c r="I158" s="3"/>
      <c r="J158" s="3"/>
      <c r="K158" s="19"/>
      <c r="L158" s="3"/>
      <c r="M158" s="3"/>
      <c r="N158" s="3"/>
      <c r="O158" s="3"/>
      <c r="P158" s="1"/>
    </row>
    <row r="159" spans="2:16">
      <c r="C159" s="115" t="s">
        <v>130</v>
      </c>
      <c r="D159" s="2"/>
      <c r="E159" s="1"/>
      <c r="F159" s="1"/>
      <c r="G159" s="1"/>
      <c r="H159" s="1"/>
      <c r="I159" s="3"/>
      <c r="J159" s="3"/>
      <c r="K159" s="19"/>
      <c r="L159" s="3"/>
      <c r="M159" s="3"/>
      <c r="N159" s="3"/>
      <c r="O159" s="3"/>
      <c r="P159" s="1"/>
    </row>
    <row r="160" spans="2:16">
      <c r="C160" s="31" t="s">
        <v>76</v>
      </c>
      <c r="D160" s="63"/>
      <c r="E160" s="63"/>
      <c r="F160" s="63"/>
      <c r="G160" s="63"/>
      <c r="H160" s="19"/>
      <c r="I160" s="19"/>
      <c r="J160" s="80"/>
      <c r="K160" s="80"/>
      <c r="L160" s="80"/>
      <c r="M160" s="80"/>
      <c r="N160" s="80"/>
      <c r="O160" s="80"/>
      <c r="P160" s="1"/>
    </row>
    <row r="161" spans="3:16">
      <c r="C161" s="101" t="s">
        <v>77</v>
      </c>
      <c r="D161" s="63"/>
      <c r="E161" s="63"/>
      <c r="F161" s="63"/>
      <c r="G161" s="63"/>
      <c r="H161" s="19"/>
      <c r="I161" s="19"/>
      <c r="J161" s="80"/>
      <c r="K161" s="80"/>
      <c r="L161" s="80"/>
      <c r="M161" s="80"/>
      <c r="N161" s="80"/>
      <c r="O161" s="80"/>
      <c r="P161" s="1"/>
    </row>
    <row r="162" spans="3:16">
      <c r="C162" s="101"/>
      <c r="D162" s="63"/>
      <c r="E162" s="63"/>
      <c r="F162" s="63"/>
      <c r="G162" s="63"/>
      <c r="H162" s="19"/>
      <c r="I162" s="19"/>
      <c r="J162" s="80"/>
      <c r="K162" s="80"/>
      <c r="L162" s="80"/>
      <c r="M162" s="80"/>
      <c r="N162" s="80"/>
      <c r="O162" s="80"/>
      <c r="P162" s="1"/>
    </row>
    <row r="163" spans="3:16" ht="18">
      <c r="C163" s="101"/>
      <c r="D163" s="63"/>
      <c r="E163" s="63"/>
      <c r="F163" s="63"/>
      <c r="G163" s="63"/>
      <c r="H163" s="19"/>
      <c r="I163" s="19"/>
      <c r="J163" s="80"/>
      <c r="K163" s="80"/>
      <c r="L163" s="80"/>
      <c r="M163" s="80"/>
      <c r="N163" s="80"/>
      <c r="P163" s="112" t="s">
        <v>129</v>
      </c>
    </row>
  </sheetData>
  <phoneticPr fontId="0" type="noConversion"/>
  <conditionalFormatting sqref="C17:C71 C73">
    <cfRule type="cellIs" dxfId="2" priority="2" stopIfTrue="1" operator="equal">
      <formula>$I$10</formula>
    </cfRule>
  </conditionalFormatting>
  <conditionalFormatting sqref="C100:C155">
    <cfRule type="cellIs" dxfId="1" priority="3" stopIfTrue="1" operator="equal">
      <formula>$J$93</formula>
    </cfRule>
  </conditionalFormatting>
  <conditionalFormatting sqref="C72">
    <cfRule type="cellIs" dxfId="0"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S137"/>
  <sheetViews>
    <sheetView zoomScale="80" zoomScaleNormal="80" zoomScaleSheetLayoutView="100" workbookViewId="0"/>
  </sheetViews>
  <sheetFormatPr defaultColWidth="8.7109375" defaultRowHeight="12.75" customHeight="1"/>
  <cols>
    <col min="1" max="1" width="4.7109375" style="145" customWidth="1"/>
    <col min="2" max="2" width="6.7109375" style="145" customWidth="1"/>
    <col min="3" max="3" width="20.7109375" style="145" customWidth="1"/>
    <col min="4" max="9" width="17.7109375" style="145" customWidth="1"/>
    <col min="10" max="10" width="17.7109375" style="145" bestFit="1" customWidth="1"/>
    <col min="11" max="11" width="2.140625" style="145" customWidth="1"/>
    <col min="12" max="14" width="17.7109375" style="145" customWidth="1"/>
    <col min="15" max="15" width="20.85546875" style="145" customWidth="1"/>
    <col min="16" max="16" width="19.5703125" style="145" customWidth="1"/>
    <col min="17" max="17" width="2.140625" style="145" customWidth="1"/>
    <col min="18" max="18" width="16.42578125" style="145" customWidth="1"/>
    <col min="19" max="19" width="52.42578125" style="145" customWidth="1"/>
    <col min="20" max="16384" width="8.7109375" style="145"/>
  </cols>
  <sheetData>
    <row r="1" spans="1:19" ht="18">
      <c r="A1" s="667" t="str">
        <f>OKT.WS.F.BPU.ATRR.Projected!A1</f>
        <v xml:space="preserve">AEP West SPP Member Companies </v>
      </c>
      <c r="B1" s="672"/>
      <c r="C1" s="672"/>
      <c r="D1" s="672"/>
      <c r="E1" s="672"/>
      <c r="F1" s="672"/>
      <c r="G1" s="672"/>
      <c r="H1" s="672"/>
      <c r="I1" s="672"/>
      <c r="J1" s="672"/>
      <c r="K1" s="672"/>
      <c r="Q1" s="220"/>
      <c r="R1" s="220"/>
    </row>
    <row r="2" spans="1:19" ht="18">
      <c r="A2" s="667" t="str">
        <f>OKT.WS.F.BPU.ATRR.Projected!A2</f>
        <v>2022 Cost of Service Formula Rate Projected on 2021 FF1 Balances</v>
      </c>
      <c r="B2" s="672"/>
      <c r="C2" s="672"/>
      <c r="D2" s="672"/>
      <c r="E2" s="672"/>
      <c r="F2" s="672"/>
      <c r="G2" s="672"/>
      <c r="H2" s="672"/>
      <c r="I2" s="672"/>
      <c r="J2" s="672"/>
      <c r="K2" s="672"/>
      <c r="Q2" s="232" t="s">
        <v>110</v>
      </c>
      <c r="R2" s="220"/>
    </row>
    <row r="3" spans="1:19" ht="18">
      <c r="A3" s="669" t="s">
        <v>125</v>
      </c>
      <c r="B3" s="670"/>
      <c r="C3" s="670"/>
      <c r="D3" s="670"/>
      <c r="E3" s="670"/>
      <c r="F3" s="670"/>
      <c r="G3" s="670"/>
      <c r="H3" s="670"/>
      <c r="I3" s="670"/>
      <c r="J3" s="670"/>
      <c r="K3" s="670"/>
      <c r="Q3" s="220"/>
      <c r="R3" s="220"/>
    </row>
    <row r="4" spans="1:19" ht="18">
      <c r="A4" s="670" t="str">
        <f>"Based on a Carrying Charge Derived from ""Trued-Up"" "&amp;M16&amp;" Data"</f>
        <v>Based on a Carrying Charge Derived from "Trued-Up" 2020 Data</v>
      </c>
      <c r="B4" s="670"/>
      <c r="C4" s="670"/>
      <c r="D4" s="670"/>
      <c r="E4" s="670"/>
      <c r="F4" s="670"/>
      <c r="G4" s="670"/>
      <c r="H4" s="670"/>
      <c r="I4" s="670"/>
      <c r="J4" s="670"/>
      <c r="K4" s="670"/>
      <c r="Q4" s="220"/>
      <c r="R4" s="220"/>
    </row>
    <row r="5" spans="1:19" ht="18">
      <c r="A5" s="673" t="str">
        <f>OKT.WS.F.BPU.ATRR.Projected!A5</f>
        <v>OKLAHOMA TRANSMISSION COMPANY</v>
      </c>
      <c r="B5" s="674"/>
      <c r="C5" s="674"/>
      <c r="D5" s="674"/>
      <c r="E5" s="674"/>
      <c r="F5" s="674"/>
      <c r="G5" s="674"/>
      <c r="H5" s="674"/>
      <c r="I5" s="674"/>
      <c r="J5" s="674"/>
      <c r="K5" s="674"/>
      <c r="Q5" s="220"/>
      <c r="R5" s="220"/>
    </row>
    <row r="6" spans="1:19" ht="20.25">
      <c r="A6" s="380"/>
      <c r="C6" s="305"/>
      <c r="D6" s="157"/>
      <c r="I6" s="212"/>
      <c r="K6" s="220"/>
      <c r="Q6" s="220"/>
      <c r="R6" s="220"/>
    </row>
    <row r="7" spans="1:19">
      <c r="D7" s="157"/>
      <c r="I7" s="212"/>
      <c r="K7" s="220"/>
      <c r="Q7" s="220"/>
      <c r="R7" s="220"/>
    </row>
    <row r="8" spans="1:19" ht="39.75" customHeight="1">
      <c r="B8" s="233" t="s">
        <v>0</v>
      </c>
      <c r="C8" s="664" t="str">
        <f>"Calculate Return and Income Taxes with "&amp;F13&amp;" basis point ROE increase for Projects Qualified for Incentive."</f>
        <v>Calculate Return and Income Taxes with 0 basis point ROE increase for Projects Qualified for Incentive.</v>
      </c>
      <c r="D8" s="665"/>
      <c r="E8" s="665"/>
      <c r="F8" s="665"/>
      <c r="G8" s="665"/>
      <c r="H8" s="665"/>
      <c r="I8" s="665"/>
      <c r="K8" s="220"/>
      <c r="Q8" s="220"/>
      <c r="R8" s="220"/>
    </row>
    <row r="9" spans="1:19" ht="15.75" customHeight="1">
      <c r="C9" s="381"/>
      <c r="D9" s="381"/>
      <c r="E9" s="381"/>
      <c r="F9" s="381"/>
      <c r="G9" s="381"/>
      <c r="H9" s="381"/>
      <c r="I9" s="381"/>
      <c r="K9" s="220"/>
      <c r="Q9" s="220"/>
      <c r="R9" s="220"/>
    </row>
    <row r="10" spans="1:19" ht="15.75">
      <c r="C10" s="235" t="str">
        <f>"A.   Determine 'R' with hypothetical "&amp;F13&amp;" basis point increase in ROE for Identified Projects"</f>
        <v>A.   Determine 'R' with hypothetical 0 basis point increase in ROE for Identified Projects</v>
      </c>
      <c r="D10" s="157"/>
      <c r="I10" s="212"/>
      <c r="K10" s="220"/>
      <c r="Q10" s="220"/>
      <c r="R10" s="220"/>
    </row>
    <row r="11" spans="1:19">
      <c r="D11" s="157"/>
      <c r="I11" s="212"/>
      <c r="K11" s="220"/>
      <c r="Q11" s="220"/>
      <c r="R11" s="220"/>
    </row>
    <row r="12" spans="1:19">
      <c r="C12" s="236" t="str">
        <f>S105</f>
        <v xml:space="preserve">   ROE w/o incentives  (TCOS, ln 143)</v>
      </c>
      <c r="D12" s="157"/>
      <c r="E12" s="237"/>
      <c r="F12" s="238">
        <v>0.105</v>
      </c>
      <c r="G12" s="238"/>
      <c r="H12" s="239"/>
      <c r="I12" s="240"/>
      <c r="J12" s="241"/>
      <c r="K12" s="242"/>
      <c r="L12" s="241"/>
      <c r="M12" s="241"/>
      <c r="N12" s="241"/>
      <c r="O12" s="241"/>
      <c r="P12" s="241"/>
      <c r="Q12" s="242"/>
      <c r="R12" s="278"/>
      <c r="S12" s="243"/>
    </row>
    <row r="13" spans="1:19" ht="13.5" thickBot="1">
      <c r="C13" s="236" t="s">
        <v>1</v>
      </c>
      <c r="D13" s="157"/>
      <c r="E13" s="237"/>
      <c r="F13" s="245">
        <f>R106</f>
        <v>0</v>
      </c>
      <c r="G13" s="382" t="s">
        <v>133</v>
      </c>
      <c r="L13" s="241"/>
      <c r="M13" s="241"/>
      <c r="N13" s="241"/>
      <c r="O13" s="241"/>
      <c r="P13" s="241"/>
      <c r="Q13" s="242"/>
      <c r="R13" s="278"/>
      <c r="S13" s="243"/>
    </row>
    <row r="14" spans="1:19">
      <c r="C14" s="236" t="str">
        <f>"   ROE with additional "&amp;F13&amp;" basis point incentive"</f>
        <v xml:space="preserve">   ROE with additional 0 basis point incentive</v>
      </c>
      <c r="D14" s="237"/>
      <c r="E14" s="237"/>
      <c r="F14" s="246">
        <f>IF((F12+(F13/10000)&gt;0.1245),"ERROR",F12+(F13/10000))</f>
        <v>0.105</v>
      </c>
      <c r="G14" s="247" t="s">
        <v>2</v>
      </c>
      <c r="I14" s="241"/>
      <c r="J14" s="241"/>
      <c r="K14" s="242"/>
      <c r="L14" s="383" t="s">
        <v>79</v>
      </c>
      <c r="M14" s="384"/>
      <c r="N14" s="384"/>
      <c r="O14" s="384"/>
      <c r="P14" s="385"/>
      <c r="Q14" s="242"/>
      <c r="R14" s="278"/>
      <c r="S14" s="243"/>
    </row>
    <row r="15" spans="1:19">
      <c r="C15" s="236" t="s">
        <v>3</v>
      </c>
      <c r="D15" s="157"/>
      <c r="E15" s="237"/>
      <c r="F15" s="246"/>
      <c r="G15" s="246"/>
      <c r="H15" s="237"/>
      <c r="I15" s="241"/>
      <c r="J15" s="241"/>
      <c r="K15" s="242"/>
      <c r="L15" s="257"/>
      <c r="M15" s="242"/>
      <c r="N15" s="242" t="s">
        <v>9</v>
      </c>
      <c r="O15" s="242" t="s">
        <v>10</v>
      </c>
      <c r="P15" s="259" t="s">
        <v>11</v>
      </c>
      <c r="Q15" s="242"/>
      <c r="R15" s="278"/>
      <c r="S15" s="243"/>
    </row>
    <row r="16" spans="1:19">
      <c r="C16" s="242"/>
      <c r="D16" s="249" t="s">
        <v>5</v>
      </c>
      <c r="E16" s="249" t="s">
        <v>6</v>
      </c>
      <c r="F16" s="250" t="s">
        <v>7</v>
      </c>
      <c r="G16" s="250"/>
      <c r="H16" s="237"/>
      <c r="I16" s="241"/>
      <c r="J16" s="241"/>
      <c r="K16" s="242"/>
      <c r="L16" s="257" t="s">
        <v>80</v>
      </c>
      <c r="M16" s="386">
        <f>+R104</f>
        <v>2020</v>
      </c>
      <c r="N16" s="220"/>
      <c r="O16" s="220"/>
      <c r="P16" s="264"/>
      <c r="Q16" s="242"/>
      <c r="R16" s="278"/>
      <c r="S16" s="243"/>
    </row>
    <row r="17" spans="3:19">
      <c r="C17" s="251" t="s">
        <v>8</v>
      </c>
      <c r="D17" s="252">
        <f>R107</f>
        <v>0.4524690885557221</v>
      </c>
      <c r="E17" s="387">
        <f>R108</f>
        <v>4.0682834836160274E-2</v>
      </c>
      <c r="F17" s="388">
        <f>E17*D17</f>
        <v>1.840772519818042E-2</v>
      </c>
      <c r="G17" s="388"/>
      <c r="H17" s="237"/>
      <c r="I17" s="241"/>
      <c r="J17" s="255"/>
      <c r="K17" s="256"/>
      <c r="L17" s="263"/>
      <c r="M17" s="389" t="s">
        <v>255</v>
      </c>
      <c r="N17" s="390">
        <f>SUM('OKT.001:OKT.xyz - blank'!M88)</f>
        <v>38282711.552259907</v>
      </c>
      <c r="O17" s="390">
        <f>SUM('OKT.001:OKT.xyz - blank'!N88)</f>
        <v>38282711.552259907</v>
      </c>
      <c r="P17" s="391">
        <f>+O17-N17</f>
        <v>0</v>
      </c>
      <c r="Q17" s="256"/>
      <c r="R17" s="278"/>
      <c r="S17" s="243"/>
    </row>
    <row r="18" spans="3:19" ht="13.5" thickBot="1">
      <c r="C18" s="251" t="s">
        <v>12</v>
      </c>
      <c r="D18" s="252">
        <f>R109</f>
        <v>0</v>
      </c>
      <c r="E18" s="387">
        <f>R110</f>
        <v>0</v>
      </c>
      <c r="F18" s="388">
        <f>E18*D18</f>
        <v>0</v>
      </c>
      <c r="G18" s="388"/>
      <c r="H18" s="260"/>
      <c r="I18" s="260"/>
      <c r="J18" s="261"/>
      <c r="K18" s="262"/>
      <c r="L18" s="263"/>
      <c r="M18" s="392" t="s">
        <v>256</v>
      </c>
      <c r="N18" s="393">
        <f>SUM('OKT.001:OKT.xyz - blank'!M89)</f>
        <v>40157878.736548707</v>
      </c>
      <c r="O18" s="393">
        <f>SUM('OKT.001:OKT.xyz - blank'!N89)</f>
        <v>40157878.736548707</v>
      </c>
      <c r="P18" s="270">
        <f>+O18-N18</f>
        <v>0</v>
      </c>
      <c r="Q18" s="262"/>
      <c r="R18" s="278"/>
      <c r="S18" s="243"/>
    </row>
    <row r="19" spans="3:19">
      <c r="C19" s="265" t="s">
        <v>13</v>
      </c>
      <c r="D19" s="252">
        <f>R111</f>
        <v>0.5475309114442779</v>
      </c>
      <c r="E19" s="387">
        <f>+F14</f>
        <v>0.105</v>
      </c>
      <c r="F19" s="394">
        <f>E19*D19</f>
        <v>5.7490745701649179E-2</v>
      </c>
      <c r="G19" s="394"/>
      <c r="H19" s="260"/>
      <c r="I19" s="260"/>
      <c r="J19" s="246"/>
      <c r="K19" s="262"/>
      <c r="L19" s="263"/>
      <c r="M19" s="395" t="str">
        <f>"True-up Adjustment For "&amp;M16&amp;""</f>
        <v>True-up Adjustment For 2020</v>
      </c>
      <c r="N19" s="396">
        <f>ROUND(N18-N17,0)</f>
        <v>1875167</v>
      </c>
      <c r="O19" s="396">
        <f>ROUND(+O18-O17,0)</f>
        <v>1875167</v>
      </c>
      <c r="P19" s="396">
        <f>ROUND(+P18-P17,0)</f>
        <v>0</v>
      </c>
      <c r="Q19" s="262"/>
      <c r="R19" s="278"/>
      <c r="S19" s="243"/>
    </row>
    <row r="20" spans="3:19">
      <c r="C20" s="236"/>
      <c r="D20" s="237"/>
      <c r="E20" s="289" t="s">
        <v>15</v>
      </c>
      <c r="F20" s="388">
        <f>SUM(F17:F19)</f>
        <v>7.5898470899829595E-2</v>
      </c>
      <c r="G20" s="388"/>
      <c r="H20" s="397"/>
      <c r="I20" s="260"/>
      <c r="J20" s="261"/>
      <c r="K20" s="262"/>
      <c r="L20" s="263"/>
      <c r="M20" s="220"/>
      <c r="N20" s="272" t="str">
        <f>IF(N19=ROUND(SUM('OKT.001:OKT.xyz - blank'!M90),0),"","ERROR")</f>
        <v/>
      </c>
      <c r="O20" s="272" t="str">
        <f>IF(O19=ROUND(SUM('OKT.001:OKT.xyz - blank'!N90),0),"","ERROR")</f>
        <v/>
      </c>
      <c r="P20" s="272" t="str">
        <f>IF(P19=ROUND(SUM('OKT.001:OKT.xyz - blank'!O90),0),"","ERROR")</f>
        <v/>
      </c>
      <c r="Q20" s="262"/>
      <c r="R20" s="278"/>
      <c r="S20" s="243"/>
    </row>
    <row r="21" spans="3:19" ht="13.5" thickBot="1">
      <c r="D21" s="273"/>
      <c r="E21" s="273"/>
      <c r="F21" s="260"/>
      <c r="G21" s="260"/>
      <c r="H21" s="260"/>
      <c r="I21" s="260"/>
      <c r="J21" s="260"/>
      <c r="K21" s="274"/>
      <c r="L21" s="398"/>
      <c r="M21" s="399"/>
      <c r="N21" s="400"/>
      <c r="O21" s="401"/>
      <c r="P21" s="270"/>
      <c r="Q21" s="274"/>
      <c r="R21" s="278"/>
      <c r="S21" s="243"/>
    </row>
    <row r="22" spans="3:19" ht="15.75">
      <c r="C22" s="235" t="str">
        <f>"B.   Determine Return using 'R' with hypothetical "&amp;F13&amp;" basis point ROE increase for Identified Projects."</f>
        <v>B.   Determine Return using 'R' with hypothetical 0 basis point ROE increase for Identified Projects.</v>
      </c>
      <c r="D22" s="273"/>
      <c r="E22" s="273"/>
      <c r="F22" s="275"/>
      <c r="G22" s="275"/>
      <c r="H22" s="260"/>
      <c r="I22" s="237"/>
      <c r="J22" s="260"/>
      <c r="K22" s="274"/>
      <c r="L22" s="260"/>
      <c r="M22" s="260"/>
      <c r="N22" s="260"/>
      <c r="O22" s="260"/>
      <c r="P22" s="260"/>
      <c r="Q22" s="274"/>
      <c r="R22" s="278"/>
      <c r="S22" s="243"/>
    </row>
    <row r="23" spans="3:19">
      <c r="C23" s="242"/>
      <c r="D23" s="273"/>
      <c r="E23" s="273"/>
      <c r="F23" s="274"/>
      <c r="G23" s="274"/>
      <c r="H23" s="274"/>
      <c r="I23" s="274"/>
      <c r="J23" s="274"/>
      <c r="K23" s="274"/>
      <c r="L23" s="175" t="s">
        <v>16</v>
      </c>
      <c r="M23" s="274"/>
      <c r="N23" s="274"/>
      <c r="O23" s="274"/>
      <c r="P23" s="274"/>
      <c r="Q23" s="274"/>
      <c r="R23" s="278"/>
      <c r="S23" s="243"/>
    </row>
    <row r="24" spans="3:19">
      <c r="C24" s="236" t="str">
        <f>S112</f>
        <v xml:space="preserve">   Rate Base  (TCOS, ln 63)</v>
      </c>
      <c r="D24" s="237"/>
      <c r="E24" s="279">
        <f>R112</f>
        <v>1097562635.6731257</v>
      </c>
      <c r="F24" s="280"/>
      <c r="G24" s="280"/>
      <c r="H24" s="274"/>
      <c r="I24" s="274"/>
      <c r="J24" s="274"/>
      <c r="K24" s="274"/>
      <c r="L24" s="145" t="s">
        <v>17</v>
      </c>
      <c r="M24" s="274"/>
      <c r="N24" s="274"/>
      <c r="O24" s="274"/>
      <c r="P24" s="280"/>
      <c r="Q24" s="274"/>
      <c r="R24" s="278"/>
      <c r="S24" s="243"/>
    </row>
    <row r="25" spans="3:19">
      <c r="C25" s="242" t="s">
        <v>18</v>
      </c>
      <c r="D25" s="239"/>
      <c r="E25" s="281">
        <f>F20</f>
        <v>7.5898470899829595E-2</v>
      </c>
      <c r="F25" s="274"/>
      <c r="G25" s="274"/>
      <c r="H25" s="274"/>
      <c r="I25" s="274"/>
      <c r="J25" s="274"/>
      <c r="K25" s="274"/>
      <c r="L25" s="274"/>
      <c r="M25" s="274"/>
      <c r="N25" s="274"/>
      <c r="O25" s="274"/>
      <c r="P25" s="274"/>
      <c r="Q25" s="274"/>
      <c r="R25" s="278"/>
      <c r="S25" s="243"/>
    </row>
    <row r="26" spans="3:19">
      <c r="C26" s="283" t="s">
        <v>19</v>
      </c>
      <c r="D26" s="283"/>
      <c r="E26" s="261">
        <f>E24*E25</f>
        <v>83303325.764377013</v>
      </c>
      <c r="F26" s="274"/>
      <c r="G26" s="274"/>
      <c r="H26" s="274"/>
      <c r="I26" s="274"/>
      <c r="J26" s="262"/>
      <c r="K26" s="262"/>
      <c r="L26" s="262"/>
      <c r="M26" s="262"/>
      <c r="N26" s="262"/>
      <c r="O26" s="262"/>
      <c r="P26" s="274"/>
      <c r="Q26" s="262"/>
      <c r="R26" s="278"/>
      <c r="S26" s="243"/>
    </row>
    <row r="27" spans="3:19" ht="13.5" thickBot="1">
      <c r="C27" s="284"/>
      <c r="D27" s="241"/>
      <c r="E27" s="241"/>
      <c r="F27" s="274"/>
      <c r="G27" s="274"/>
      <c r="H27" s="274"/>
      <c r="I27" s="274"/>
      <c r="J27" s="262"/>
      <c r="K27" s="262"/>
      <c r="L27" s="262"/>
      <c r="M27" s="262"/>
      <c r="N27" s="402">
        <v>39804485.030792631</v>
      </c>
      <c r="O27" s="262"/>
      <c r="P27" s="274"/>
      <c r="Q27" s="262"/>
      <c r="R27" s="278"/>
      <c r="S27" s="243"/>
    </row>
    <row r="28" spans="3:19" ht="15.75">
      <c r="C28" s="235" t="str">
        <f>"C.   Determine Income Taxes using Return with hypothetical "&amp;F13&amp;" basis point ROE increase for Identified Projects."</f>
        <v>C.   Determine Income Taxes using Return with hypothetical 0 basis point ROE increase for Identified Projects.</v>
      </c>
      <c r="D28" s="285"/>
      <c r="E28" s="285"/>
      <c r="F28" s="286"/>
      <c r="G28" s="286"/>
      <c r="H28" s="286"/>
      <c r="I28" s="286"/>
      <c r="J28" s="287"/>
      <c r="K28" s="287"/>
      <c r="L28" s="287"/>
      <c r="M28" s="287"/>
      <c r="N28" s="287">
        <f>+N18</f>
        <v>40157878.736548707</v>
      </c>
      <c r="O28" s="403"/>
      <c r="P28" s="286"/>
      <c r="Q28" s="287"/>
      <c r="R28" s="278"/>
      <c r="S28" s="243"/>
    </row>
    <row r="29" spans="3:19">
      <c r="C29" s="236"/>
      <c r="D29" s="241"/>
      <c r="E29" s="241"/>
      <c r="F29" s="274"/>
      <c r="G29" s="274"/>
      <c r="H29" s="274"/>
      <c r="I29" s="274"/>
      <c r="J29" s="262"/>
      <c r="K29" s="262"/>
      <c r="L29" s="262"/>
      <c r="M29" s="262"/>
      <c r="N29" s="404">
        <f>+N27-N28</f>
        <v>-353393.70575607568</v>
      </c>
      <c r="O29" s="262"/>
      <c r="P29" s="274"/>
      <c r="Q29" s="262"/>
      <c r="R29" s="278"/>
      <c r="S29" s="243"/>
    </row>
    <row r="30" spans="3:19">
      <c r="C30" s="242" t="s">
        <v>20</v>
      </c>
      <c r="D30" s="289"/>
      <c r="E30" s="290">
        <f>E26</f>
        <v>83303325.764377013</v>
      </c>
      <c r="F30" s="274"/>
      <c r="G30" s="274"/>
      <c r="H30" s="274"/>
      <c r="I30" s="274"/>
      <c r="J30" s="274"/>
      <c r="K30" s="274"/>
      <c r="L30" s="274"/>
      <c r="M30" s="274"/>
      <c r="N30" s="274"/>
      <c r="O30" s="274"/>
      <c r="P30" s="274"/>
      <c r="Q30" s="274"/>
      <c r="R30" s="278"/>
      <c r="S30" s="243"/>
    </row>
    <row r="31" spans="3:19">
      <c r="C31" s="236" t="str">
        <f>S113</f>
        <v xml:space="preserve">   Tax Rate  (TCOS, ln 99)</v>
      </c>
      <c r="D31" s="289"/>
      <c r="E31" s="291">
        <f>R113</f>
        <v>0.24160000000000004</v>
      </c>
      <c r="F31" s="274"/>
      <c r="G31" s="274"/>
      <c r="H31" s="274"/>
      <c r="I31" s="274"/>
      <c r="J31" s="274"/>
      <c r="K31" s="274"/>
      <c r="L31" s="274"/>
      <c r="M31" s="274"/>
      <c r="N31" s="274"/>
      <c r="O31" s="274"/>
      <c r="P31" s="274"/>
      <c r="Q31" s="274"/>
      <c r="R31" s="278"/>
      <c r="S31" s="278"/>
    </row>
    <row r="32" spans="3:19">
      <c r="C32" s="242" t="s">
        <v>21</v>
      </c>
      <c r="D32" s="292"/>
      <c r="E32" s="246">
        <f>IF(F17&gt;0,($E31/(1-$E31))*(1-$F17/$F20),0)</f>
        <v>0.24130344435306231</v>
      </c>
      <c r="F32" s="278"/>
      <c r="G32" s="278"/>
      <c r="H32" s="278"/>
      <c r="I32" s="294"/>
      <c r="J32" s="278"/>
      <c r="K32" s="278"/>
      <c r="L32" s="278"/>
      <c r="M32" s="278"/>
      <c r="N32" s="278"/>
      <c r="O32" s="278"/>
      <c r="P32" s="278"/>
      <c r="Q32" s="278"/>
      <c r="R32" s="278"/>
      <c r="S32" s="291"/>
    </row>
    <row r="33" spans="2:19">
      <c r="C33" s="405" t="s">
        <v>22</v>
      </c>
      <c r="D33" s="406"/>
      <c r="E33" s="297">
        <f>E30*E32</f>
        <v>20101379.433009371</v>
      </c>
      <c r="F33" s="278"/>
      <c r="G33" s="278"/>
      <c r="H33" s="278"/>
      <c r="I33" s="294"/>
      <c r="J33" s="278"/>
      <c r="K33" s="278"/>
      <c r="L33" s="278"/>
      <c r="M33" s="278"/>
      <c r="N33" s="278"/>
      <c r="O33" s="278"/>
      <c r="P33" s="278"/>
      <c r="Q33" s="278"/>
      <c r="R33" s="278"/>
      <c r="S33" s="278"/>
    </row>
    <row r="34" spans="2:19" ht="15">
      <c r="C34" s="236" t="str">
        <f>S114</f>
        <v xml:space="preserve">   ITC Adjustment  (TCOS, ln 108)</v>
      </c>
      <c r="D34" s="300"/>
      <c r="E34" s="301">
        <f>R114</f>
        <v>0</v>
      </c>
      <c r="F34" s="278"/>
      <c r="G34" s="278"/>
      <c r="H34" s="278"/>
      <c r="I34" s="294"/>
      <c r="J34" s="278"/>
      <c r="K34" s="278"/>
      <c r="L34" s="278"/>
      <c r="M34" s="278"/>
      <c r="N34" s="278"/>
      <c r="O34" s="278"/>
      <c r="P34" s="278"/>
      <c r="Q34" s="278"/>
      <c r="R34" s="278"/>
      <c r="S34" s="278"/>
    </row>
    <row r="35" spans="2:19">
      <c r="C35" s="407" t="s">
        <v>323</v>
      </c>
      <c r="D35" s="408"/>
      <c r="E35" s="409">
        <v>871276.53008375282</v>
      </c>
      <c r="F35" s="278"/>
      <c r="G35" s="278"/>
      <c r="H35" s="278"/>
      <c r="I35" s="294"/>
      <c r="J35" s="278"/>
      <c r="K35" s="278"/>
      <c r="L35" s="278"/>
      <c r="M35" s="278"/>
      <c r="N35" s="278"/>
      <c r="O35" s="278"/>
      <c r="P35" s="278"/>
      <c r="Q35" s="278"/>
      <c r="R35" s="278"/>
      <c r="S35" s="278"/>
    </row>
    <row r="36" spans="2:19" ht="15">
      <c r="C36" s="407" t="s">
        <v>324</v>
      </c>
      <c r="D36" s="300"/>
      <c r="E36" s="409">
        <v>237532.97391873723</v>
      </c>
      <c r="F36" s="300"/>
      <c r="G36" s="300"/>
      <c r="H36" s="300"/>
      <c r="I36" s="300"/>
      <c r="J36" s="300"/>
      <c r="K36" s="300"/>
      <c r="L36" s="300"/>
      <c r="M36" s="300"/>
      <c r="N36" s="300"/>
      <c r="O36" s="300"/>
      <c r="P36" s="302"/>
      <c r="Q36" s="300"/>
      <c r="R36" s="278"/>
      <c r="S36" s="278"/>
    </row>
    <row r="37" spans="2:19" ht="15">
      <c r="C37" s="405" t="s">
        <v>23</v>
      </c>
      <c r="D37" s="410"/>
      <c r="E37" s="411">
        <f>SUM(E33:E36)</f>
        <v>21210188.93701186</v>
      </c>
      <c r="F37" s="300"/>
      <c r="G37" s="300"/>
      <c r="H37" s="300"/>
      <c r="I37" s="300"/>
      <c r="J37" s="300"/>
      <c r="K37" s="300"/>
      <c r="L37" s="300"/>
      <c r="M37" s="300"/>
      <c r="N37" s="300"/>
      <c r="O37" s="300"/>
      <c r="P37" s="303"/>
      <c r="Q37" s="300"/>
      <c r="R37" s="278"/>
      <c r="S37" s="243"/>
    </row>
    <row r="38" spans="2:19" ht="12.75" customHeight="1">
      <c r="C38" s="304"/>
      <c r="D38" s="300"/>
      <c r="E38" s="300"/>
      <c r="F38" s="300"/>
      <c r="G38" s="300"/>
      <c r="H38" s="300"/>
      <c r="I38" s="300"/>
      <c r="J38" s="300"/>
      <c r="K38" s="300"/>
      <c r="L38" s="300"/>
      <c r="M38" s="300"/>
      <c r="N38" s="300"/>
      <c r="O38" s="300"/>
      <c r="P38" s="303"/>
      <c r="Q38" s="300"/>
      <c r="R38" s="278"/>
      <c r="S38" s="243"/>
    </row>
    <row r="39" spans="2:19" ht="18.75">
      <c r="B39" s="233" t="s">
        <v>24</v>
      </c>
      <c r="C39" s="305" t="str">
        <f>"Calculate Net Plant Carrying Charge Rate (Fixed Charge Rate or FCR) with hypothetical "&amp;F13&amp;" basis point"</f>
        <v>Calculate Net Plant Carrying Charge Rate (Fixed Charge Rate or FCR) with hypothetical 0 basis point</v>
      </c>
      <c r="D39" s="300"/>
      <c r="E39" s="300"/>
      <c r="F39" s="300"/>
      <c r="G39" s="300"/>
      <c r="H39" s="300"/>
      <c r="I39" s="300"/>
      <c r="J39" s="300"/>
      <c r="K39" s="300"/>
      <c r="L39" s="300"/>
      <c r="M39" s="300"/>
      <c r="N39" s="300"/>
      <c r="O39" s="300"/>
      <c r="P39" s="303"/>
      <c r="Q39" s="300"/>
      <c r="R39" s="278"/>
      <c r="S39" s="243"/>
    </row>
    <row r="40" spans="2:19" ht="18.75" customHeight="1">
      <c r="B40" s="233"/>
      <c r="C40" s="305" t="str">
        <f>"ROE increase."</f>
        <v>ROE increase.</v>
      </c>
      <c r="D40" s="300"/>
      <c r="E40" s="300"/>
      <c r="F40" s="300"/>
      <c r="G40" s="300"/>
      <c r="H40" s="300"/>
      <c r="I40" s="300"/>
      <c r="J40" s="300"/>
      <c r="K40" s="300"/>
      <c r="L40" s="300"/>
      <c r="M40" s="300"/>
      <c r="N40" s="300"/>
      <c r="O40" s="300"/>
      <c r="P40" s="303"/>
      <c r="Q40" s="300"/>
      <c r="R40" s="278"/>
      <c r="S40" s="243"/>
    </row>
    <row r="41" spans="2:19" ht="12.75" customHeight="1">
      <c r="C41" s="304"/>
      <c r="D41" s="300"/>
      <c r="E41" s="300"/>
      <c r="F41" s="300"/>
      <c r="G41" s="300"/>
      <c r="H41" s="300"/>
      <c r="I41" s="300"/>
      <c r="J41" s="300"/>
      <c r="K41" s="300"/>
      <c r="L41" s="300"/>
      <c r="M41" s="300"/>
      <c r="N41" s="300"/>
      <c r="O41" s="300"/>
      <c r="P41" s="303"/>
      <c r="Q41" s="300"/>
      <c r="R41" s="278"/>
      <c r="S41" s="243"/>
    </row>
    <row r="42" spans="2:19" ht="15.75">
      <c r="B42" s="243"/>
      <c r="C42" s="306" t="s">
        <v>240</v>
      </c>
      <c r="D42" s="307"/>
      <c r="E42" s="307"/>
      <c r="F42" s="307"/>
      <c r="G42" s="307"/>
      <c r="H42" s="307"/>
      <c r="I42" s="307"/>
      <c r="J42" s="307"/>
      <c r="K42" s="307"/>
      <c r="L42" s="307"/>
      <c r="M42" s="307"/>
      <c r="N42" s="307"/>
      <c r="O42" s="307"/>
      <c r="P42" s="301"/>
      <c r="Q42" s="307"/>
      <c r="R42" s="278"/>
      <c r="S42" s="243"/>
    </row>
    <row r="43" spans="2:19" ht="15.75">
      <c r="B43" s="243"/>
      <c r="C43" s="306"/>
      <c r="D43" s="307"/>
      <c r="E43" s="307"/>
      <c r="F43" s="307"/>
      <c r="G43" s="307"/>
      <c r="H43" s="307"/>
      <c r="I43" s="307"/>
      <c r="J43" s="307"/>
      <c r="K43" s="307"/>
      <c r="L43" s="307"/>
      <c r="M43" s="307"/>
      <c r="N43" s="307"/>
      <c r="O43" s="307"/>
      <c r="P43" s="301"/>
      <c r="Q43" s="307"/>
      <c r="R43" s="278"/>
      <c r="S43" s="243"/>
    </row>
    <row r="44" spans="2:19" ht="12.75" customHeight="1">
      <c r="B44" s="243"/>
      <c r="C44" s="236" t="str">
        <f>S117</f>
        <v xml:space="preserve">   Net Revenue Requirement  (TCOS, ln 117)</v>
      </c>
      <c r="D44" s="307"/>
      <c r="E44" s="307"/>
      <c r="F44" s="301">
        <f>R117</f>
        <v>184155821.47548768</v>
      </c>
      <c r="G44" s="301"/>
      <c r="H44" s="307"/>
      <c r="I44" s="307"/>
      <c r="J44" s="307"/>
      <c r="K44" s="307"/>
      <c r="L44" s="307"/>
      <c r="M44" s="307"/>
      <c r="N44" s="307"/>
      <c r="O44" s="307"/>
      <c r="P44" s="301"/>
      <c r="Q44" s="307"/>
      <c r="R44" s="278"/>
      <c r="S44" s="243"/>
    </row>
    <row r="45" spans="2:19">
      <c r="B45" s="243"/>
      <c r="C45" s="236" t="str">
        <f>S118</f>
        <v xml:space="preserve">   Return  (TCOS, ln 112)</v>
      </c>
      <c r="D45" s="307"/>
      <c r="E45" s="307"/>
      <c r="F45" s="301">
        <f>R118</f>
        <v>83303325.764377013</v>
      </c>
      <c r="G45" s="308"/>
      <c r="H45" s="309"/>
      <c r="I45" s="309"/>
      <c r="J45" s="309"/>
      <c r="K45" s="309"/>
      <c r="L45" s="309"/>
      <c r="M45" s="309"/>
      <c r="N45" s="309"/>
      <c r="O45" s="309"/>
      <c r="P45" s="301"/>
      <c r="Q45" s="309"/>
      <c r="R45" s="278"/>
      <c r="S45" s="243"/>
    </row>
    <row r="46" spans="2:19">
      <c r="B46" s="243"/>
      <c r="C46" s="236" t="str">
        <f>S119</f>
        <v xml:space="preserve">   Income Taxes  (TCOS, ln 111)</v>
      </c>
      <c r="D46" s="307"/>
      <c r="E46" s="307"/>
      <c r="F46" s="301">
        <f>R119</f>
        <v>21662586.831814442</v>
      </c>
      <c r="G46" s="301"/>
      <c r="H46" s="307"/>
      <c r="I46" s="307"/>
      <c r="J46" s="310"/>
      <c r="K46" s="310"/>
      <c r="L46" s="310"/>
      <c r="M46" s="310"/>
      <c r="N46" s="310"/>
      <c r="O46" s="310"/>
      <c r="P46" s="307"/>
      <c r="Q46" s="310"/>
      <c r="R46" s="278"/>
      <c r="S46" s="243"/>
    </row>
    <row r="47" spans="2:19">
      <c r="B47" s="243"/>
      <c r="C47" s="236" t="str">
        <f>S120</f>
        <v xml:space="preserve">  Gross Margin Taxes  (TCOS, ln 116)</v>
      </c>
      <c r="D47" s="307"/>
      <c r="E47" s="307"/>
      <c r="F47" s="312">
        <f>R120</f>
        <v>0</v>
      </c>
      <c r="G47" s="301"/>
      <c r="H47" s="307"/>
      <c r="I47" s="307"/>
      <c r="J47" s="310"/>
      <c r="K47" s="310"/>
      <c r="L47" s="310"/>
      <c r="M47" s="310"/>
      <c r="N47" s="310"/>
      <c r="O47" s="310"/>
      <c r="P47" s="307"/>
      <c r="Q47" s="310"/>
      <c r="R47" s="278"/>
      <c r="S47" s="243"/>
    </row>
    <row r="48" spans="2:19">
      <c r="B48" s="243"/>
      <c r="C48" s="248" t="s">
        <v>25</v>
      </c>
      <c r="D48" s="307"/>
      <c r="E48" s="307"/>
      <c r="F48" s="308">
        <f>F44-F45-F46-F47</f>
        <v>79189908.879296228</v>
      </c>
      <c r="G48" s="308"/>
      <c r="H48" s="313"/>
      <c r="I48" s="307"/>
      <c r="J48" s="313"/>
      <c r="K48" s="313"/>
      <c r="L48" s="313"/>
      <c r="M48" s="313"/>
      <c r="N48" s="313"/>
      <c r="O48" s="313"/>
      <c r="P48" s="313"/>
      <c r="Q48" s="313"/>
      <c r="R48" s="278"/>
      <c r="S48" s="243"/>
    </row>
    <row r="49" spans="2:19">
      <c r="B49" s="243"/>
      <c r="C49" s="311"/>
      <c r="D49" s="307"/>
      <c r="E49" s="307"/>
      <c r="F49" s="301"/>
      <c r="G49" s="301"/>
      <c r="H49" s="314"/>
      <c r="I49" s="315"/>
      <c r="J49" s="315"/>
      <c r="K49" s="315"/>
      <c r="L49" s="315"/>
      <c r="M49" s="315"/>
      <c r="N49" s="315"/>
      <c r="O49" s="315"/>
      <c r="P49" s="315"/>
      <c r="Q49" s="315"/>
      <c r="R49" s="278"/>
      <c r="S49" s="243"/>
    </row>
    <row r="50" spans="2:19" ht="15.75">
      <c r="B50" s="243"/>
      <c r="C50" s="235" t="str">
        <f>"B.   Determine Net Revenue Requirement with hypothetical "&amp;F13&amp;" basis point increase in ROE."</f>
        <v>B.   Determine Net Revenue Requirement with hypothetical 0 basis point increase in ROE.</v>
      </c>
      <c r="D50" s="316"/>
      <c r="E50" s="316"/>
      <c r="F50" s="301"/>
      <c r="G50" s="301"/>
      <c r="H50" s="314"/>
      <c r="I50" s="315"/>
      <c r="J50" s="315"/>
      <c r="K50" s="315"/>
      <c r="L50" s="315"/>
      <c r="M50" s="315"/>
      <c r="N50" s="315"/>
      <c r="O50" s="315"/>
      <c r="P50" s="315"/>
      <c r="Q50" s="315"/>
      <c r="R50" s="278"/>
      <c r="S50" s="243"/>
    </row>
    <row r="51" spans="2:19">
      <c r="B51" s="243"/>
      <c r="C51" s="311"/>
      <c r="D51" s="316"/>
      <c r="E51" s="316"/>
      <c r="F51" s="301"/>
      <c r="G51" s="301"/>
      <c r="H51" s="314"/>
      <c r="I51" s="315"/>
      <c r="J51" s="315"/>
      <c r="K51" s="315"/>
      <c r="L51" s="315"/>
      <c r="M51" s="315"/>
      <c r="N51" s="315"/>
      <c r="O51" s="315"/>
      <c r="P51" s="315"/>
      <c r="Q51" s="315"/>
      <c r="R51" s="278"/>
      <c r="S51" s="243"/>
    </row>
    <row r="52" spans="2:19">
      <c r="B52" s="243"/>
      <c r="C52" s="311" t="str">
        <f>C48</f>
        <v xml:space="preserve">   Net Revenue Requirement, Less Return and Taxes</v>
      </c>
      <c r="D52" s="316"/>
      <c r="E52" s="316"/>
      <c r="F52" s="301">
        <f>F48</f>
        <v>79189908.879296228</v>
      </c>
      <c r="G52" s="301"/>
      <c r="H52" s="307"/>
      <c r="I52" s="307"/>
      <c r="J52" s="307"/>
      <c r="K52" s="307"/>
      <c r="L52" s="307"/>
      <c r="M52" s="307"/>
      <c r="N52" s="307"/>
      <c r="O52" s="307"/>
      <c r="P52" s="319"/>
      <c r="Q52" s="307"/>
      <c r="R52" s="278"/>
      <c r="S52" s="243"/>
    </row>
    <row r="53" spans="2:19">
      <c r="B53" s="243"/>
      <c r="C53" s="242" t="s">
        <v>92</v>
      </c>
      <c r="D53" s="321"/>
      <c r="E53" s="248"/>
      <c r="F53" s="322">
        <f>E26</f>
        <v>83303325.764377013</v>
      </c>
      <c r="G53" s="322"/>
      <c r="H53" s="248"/>
      <c r="I53" s="323"/>
      <c r="J53" s="248"/>
      <c r="K53" s="248"/>
      <c r="L53" s="248"/>
      <c r="M53" s="248"/>
      <c r="N53" s="248"/>
      <c r="O53" s="248"/>
      <c r="P53" s="248"/>
      <c r="Q53" s="248"/>
      <c r="R53" s="278"/>
      <c r="S53" s="243"/>
    </row>
    <row r="54" spans="2:19" ht="12.75" customHeight="1">
      <c r="B54" s="243"/>
      <c r="C54" s="236" t="s">
        <v>26</v>
      </c>
      <c r="D54" s="307"/>
      <c r="E54" s="307"/>
      <c r="F54" s="412">
        <f>E37</f>
        <v>21210188.93701186</v>
      </c>
      <c r="G54" s="324"/>
      <c r="H54" s="243"/>
      <c r="I54" s="325"/>
      <c r="J54" s="243"/>
      <c r="K54" s="278"/>
      <c r="L54" s="243"/>
      <c r="M54" s="243"/>
      <c r="N54" s="243"/>
      <c r="O54" s="243"/>
      <c r="P54" s="243"/>
      <c r="Q54" s="278"/>
      <c r="R54" s="278"/>
      <c r="S54" s="243"/>
    </row>
    <row r="55" spans="2:19">
      <c r="B55" s="243"/>
      <c r="C55" s="248" t="str">
        <f>"   Net Revenue Requirement, with "&amp;F13&amp;" Basis Point ROE increase"</f>
        <v xml:space="preserve">   Net Revenue Requirement, with 0 Basis Point ROE increase</v>
      </c>
      <c r="D55" s="292"/>
      <c r="E55" s="243"/>
      <c r="F55" s="326">
        <f>SUM(F52:F54)</f>
        <v>183703423.58068511</v>
      </c>
      <c r="G55" s="326"/>
      <c r="H55" s="243"/>
      <c r="I55" s="325"/>
      <c r="J55" s="243"/>
      <c r="K55" s="278"/>
      <c r="L55" s="243"/>
      <c r="M55" s="243"/>
      <c r="N55" s="243"/>
      <c r="O55" s="243"/>
      <c r="P55" s="243"/>
      <c r="Q55" s="278"/>
      <c r="R55" s="278"/>
      <c r="S55" s="243"/>
    </row>
    <row r="56" spans="2:19">
      <c r="B56" s="243"/>
      <c r="C56" s="299" t="str">
        <f>"   Gross Margin Tax with "&amp;F13&amp;" Basis Point ROE Increase (II C. below)"</f>
        <v xml:space="preserve">   Gross Margin Tax with 0 Basis Point ROE Increase (II C. below)</v>
      </c>
      <c r="D56" s="327"/>
      <c r="E56" s="327"/>
      <c r="F56" s="328">
        <f>+F71</f>
        <v>0</v>
      </c>
      <c r="G56" s="322"/>
      <c r="H56" s="243"/>
      <c r="I56" s="325"/>
      <c r="J56" s="243"/>
      <c r="K56" s="278"/>
      <c r="L56" s="243"/>
      <c r="M56" s="243"/>
      <c r="N56" s="243"/>
      <c r="O56" s="243"/>
      <c r="P56" s="243"/>
      <c r="Q56" s="278"/>
      <c r="R56" s="278"/>
      <c r="S56" s="243"/>
    </row>
    <row r="57" spans="2:19">
      <c r="B57" s="243"/>
      <c r="C57" s="248" t="s">
        <v>27</v>
      </c>
      <c r="D57" s="292"/>
      <c r="E57" s="243"/>
      <c r="F57" s="298">
        <f>+F55+F56</f>
        <v>183703423.58068511</v>
      </c>
      <c r="G57" s="298"/>
      <c r="H57" s="243"/>
      <c r="I57" s="325"/>
      <c r="J57" s="243"/>
      <c r="K57" s="278"/>
      <c r="L57" s="243"/>
      <c r="M57" s="243"/>
      <c r="N57" s="243"/>
      <c r="O57" s="243"/>
      <c r="P57" s="243"/>
      <c r="Q57" s="278"/>
      <c r="R57" s="278"/>
      <c r="S57" s="243"/>
    </row>
    <row r="58" spans="2:19">
      <c r="B58" s="243"/>
      <c r="C58" s="236" t="str">
        <f>S121</f>
        <v xml:space="preserve">   Less: Depreciation  (TCOS, ln 86)</v>
      </c>
      <c r="D58" s="292"/>
      <c r="E58" s="243"/>
      <c r="F58" s="329">
        <f>R121</f>
        <v>42943214.808296099</v>
      </c>
      <c r="G58" s="329"/>
      <c r="H58" s="243"/>
      <c r="I58" s="325"/>
      <c r="J58" s="243"/>
      <c r="K58" s="278"/>
      <c r="L58" s="243"/>
      <c r="M58" s="243"/>
      <c r="N58" s="243"/>
      <c r="O58" s="243"/>
      <c r="P58" s="243"/>
      <c r="Q58" s="278"/>
      <c r="R58" s="278"/>
      <c r="S58" s="243"/>
    </row>
    <row r="59" spans="2:19">
      <c r="B59" s="243"/>
      <c r="C59" s="248" t="str">
        <f>"   Net Rev. Req, w/"&amp;F13&amp;" Basis Point ROE increase, less Depreciation"</f>
        <v xml:space="preserve">   Net Rev. Req, w/0 Basis Point ROE increase, less Depreciation</v>
      </c>
      <c r="D59" s="292"/>
      <c r="E59" s="243"/>
      <c r="F59" s="326">
        <f>F57-F58</f>
        <v>140760208.77238899</v>
      </c>
      <c r="G59" s="326"/>
      <c r="H59" s="243"/>
      <c r="I59" s="325"/>
      <c r="J59" s="243"/>
      <c r="K59" s="278"/>
      <c r="L59" s="243"/>
      <c r="M59" s="243"/>
      <c r="N59" s="243"/>
      <c r="O59" s="243"/>
      <c r="P59" s="243"/>
      <c r="Q59" s="278"/>
      <c r="R59" s="278"/>
      <c r="S59" s="243"/>
    </row>
    <row r="60" spans="2:19">
      <c r="B60" s="243"/>
      <c r="C60" s="243"/>
      <c r="D60" s="292"/>
      <c r="E60" s="243"/>
      <c r="F60" s="243"/>
      <c r="G60" s="243"/>
      <c r="H60" s="243"/>
      <c r="I60" s="325"/>
      <c r="J60" s="243"/>
      <c r="K60" s="278"/>
      <c r="L60" s="243"/>
      <c r="M60" s="243"/>
      <c r="N60" s="243"/>
      <c r="O60" s="243"/>
      <c r="P60" s="243"/>
      <c r="Q60" s="278"/>
      <c r="R60" s="278"/>
      <c r="S60" s="243"/>
    </row>
    <row r="61" spans="2:19" ht="15.75">
      <c r="B61" s="243"/>
      <c r="C61" s="306" t="str">
        <f>"C.   Determine Gross Margin Tax with hypothetical "&amp;F13&amp;" basis point increase in ROE."</f>
        <v>C.   Determine Gross Margin Tax with hypothetical 0 basis point increase in ROE.</v>
      </c>
      <c r="D61" s="330"/>
      <c r="E61" s="330"/>
      <c r="F61" s="331"/>
      <c r="G61" s="331"/>
      <c r="H61" s="244"/>
      <c r="I61" s="325"/>
      <c r="J61" s="243"/>
      <c r="K61" s="278"/>
      <c r="L61" s="243"/>
      <c r="M61" s="243"/>
      <c r="N61" s="243"/>
      <c r="O61" s="243"/>
      <c r="P61" s="243"/>
      <c r="Q61" s="278"/>
      <c r="R61" s="278"/>
      <c r="S61" s="243"/>
    </row>
    <row r="62" spans="2:19">
      <c r="B62" s="243"/>
      <c r="C62" s="299" t="str">
        <f>"   Net Revenue Requirement before Gross Margin Taxes, with "&amp;F13&amp;" "</f>
        <v xml:space="preserve">   Net Revenue Requirement before Gross Margin Taxes, with 0 </v>
      </c>
      <c r="D62" s="330"/>
      <c r="E62" s="330"/>
      <c r="F62" s="331">
        <f>+F55</f>
        <v>183703423.58068511</v>
      </c>
      <c r="G62" s="331"/>
      <c r="H62" s="244"/>
      <c r="I62" s="325"/>
      <c r="J62" s="243"/>
      <c r="K62" s="278"/>
      <c r="L62" s="243"/>
      <c r="M62" s="243"/>
      <c r="N62" s="243"/>
      <c r="O62" s="243"/>
      <c r="P62" s="243"/>
      <c r="Q62" s="278"/>
      <c r="R62" s="278"/>
      <c r="S62" s="243"/>
    </row>
    <row r="63" spans="2:19">
      <c r="B63" s="243"/>
      <c r="C63" s="299" t="s">
        <v>28</v>
      </c>
      <c r="D63" s="330"/>
      <c r="E63" s="330"/>
      <c r="F63" s="331"/>
      <c r="G63" s="331"/>
      <c r="H63" s="244"/>
      <c r="I63" s="325"/>
      <c r="J63" s="243"/>
      <c r="K63" s="278"/>
      <c r="L63" s="243"/>
      <c r="M63" s="243"/>
      <c r="N63" s="243"/>
      <c r="O63" s="243"/>
      <c r="P63" s="243"/>
      <c r="Q63" s="278"/>
      <c r="R63" s="278"/>
      <c r="S63" s="243"/>
    </row>
    <row r="64" spans="2:19">
      <c r="B64" s="243"/>
      <c r="C64" s="248" t="str">
        <f>S120</f>
        <v xml:space="preserve">  Gross Margin Taxes  (TCOS, ln 116)</v>
      </c>
      <c r="D64" s="333"/>
      <c r="E64" s="244"/>
      <c r="F64" s="334">
        <f>R120</f>
        <v>0</v>
      </c>
      <c r="G64" s="413"/>
      <c r="H64" s="244"/>
      <c r="I64" s="325"/>
      <c r="J64" s="243"/>
      <c r="K64" s="278"/>
      <c r="L64" s="243"/>
      <c r="M64" s="243"/>
      <c r="N64" s="243"/>
      <c r="O64" s="243"/>
      <c r="P64" s="243"/>
      <c r="Q64" s="278"/>
      <c r="R64" s="278"/>
      <c r="S64" s="243"/>
    </row>
    <row r="65" spans="2:19">
      <c r="B65" s="243"/>
      <c r="C65" s="248" t="s">
        <v>29</v>
      </c>
      <c r="D65" s="333"/>
      <c r="E65" s="244"/>
      <c r="F65" s="331">
        <f>+F64*F62</f>
        <v>0</v>
      </c>
      <c r="G65" s="331"/>
      <c r="H65" s="244"/>
      <c r="I65" s="325"/>
      <c r="J65" s="243"/>
      <c r="K65" s="278"/>
      <c r="L65" s="243"/>
      <c r="M65" s="243"/>
      <c r="N65" s="243"/>
      <c r="O65" s="243"/>
      <c r="P65" s="243"/>
      <c r="Q65" s="278"/>
      <c r="R65" s="278"/>
      <c r="S65" s="243"/>
    </row>
    <row r="66" spans="2:19">
      <c r="B66" s="243"/>
      <c r="C66" s="248" t="str">
        <f>+OKT.WS.F.BPU.ATRR.Projected!C65</f>
        <v xml:space="preserve">       Taxable Percentage of Revenue (22%)</v>
      </c>
      <c r="D66" s="333"/>
      <c r="E66" s="244"/>
      <c r="F66" s="335">
        <f>+OKT.WS.F.BPU.ATRR.Projected!F65</f>
        <v>0.22</v>
      </c>
      <c r="G66" s="414"/>
      <c r="H66" s="244"/>
      <c r="I66" s="325"/>
      <c r="J66" s="243"/>
      <c r="K66" s="278"/>
      <c r="L66" s="243"/>
      <c r="M66" s="243"/>
      <c r="N66" s="243"/>
      <c r="O66" s="243"/>
      <c r="P66" s="243"/>
      <c r="Q66" s="278"/>
      <c r="R66" s="278"/>
      <c r="S66" s="243"/>
    </row>
    <row r="67" spans="2:19">
      <c r="B67" s="243"/>
      <c r="C67" s="248" t="s">
        <v>30</v>
      </c>
      <c r="D67" s="333"/>
      <c r="E67" s="244"/>
      <c r="F67" s="331">
        <f>+F65*F66</f>
        <v>0</v>
      </c>
      <c r="G67" s="331"/>
      <c r="H67" s="244"/>
      <c r="I67" s="325"/>
      <c r="J67" s="243"/>
      <c r="K67" s="278"/>
      <c r="L67" s="243"/>
      <c r="M67" s="243"/>
      <c r="N67" s="243"/>
      <c r="O67" s="243"/>
      <c r="P67" s="243"/>
      <c r="Q67" s="278"/>
      <c r="R67" s="278"/>
      <c r="S67" s="243"/>
    </row>
    <row r="68" spans="2:19">
      <c r="B68" s="243"/>
      <c r="C68" s="248" t="s">
        <v>31</v>
      </c>
      <c r="D68" s="333"/>
      <c r="E68" s="244"/>
      <c r="F68" s="335">
        <v>0.01</v>
      </c>
      <c r="G68" s="414"/>
      <c r="H68" s="244"/>
      <c r="I68" s="325"/>
      <c r="J68" s="243"/>
      <c r="K68" s="278"/>
      <c r="L68" s="243"/>
      <c r="M68" s="243"/>
      <c r="N68" s="243"/>
      <c r="O68" s="243"/>
      <c r="P68" s="243"/>
      <c r="Q68" s="278"/>
      <c r="R68" s="278"/>
      <c r="S68" s="243"/>
    </row>
    <row r="69" spans="2:19">
      <c r="B69" s="243"/>
      <c r="C69" s="248" t="s">
        <v>32</v>
      </c>
      <c r="D69" s="333"/>
      <c r="E69" s="244"/>
      <c r="F69" s="331">
        <f>+F67*F68</f>
        <v>0</v>
      </c>
      <c r="G69" s="331"/>
      <c r="H69" s="244"/>
      <c r="I69" s="325"/>
      <c r="J69" s="243"/>
      <c r="K69" s="278"/>
      <c r="L69" s="243"/>
      <c r="M69" s="243"/>
      <c r="N69" s="243"/>
      <c r="O69" s="243"/>
      <c r="P69" s="243"/>
      <c r="Q69" s="278"/>
      <c r="R69" s="278"/>
      <c r="S69" s="243"/>
    </row>
    <row r="70" spans="2:19">
      <c r="B70" s="243"/>
      <c r="C70" s="248" t="s">
        <v>33</v>
      </c>
      <c r="D70" s="333"/>
      <c r="E70" s="244"/>
      <c r="F70" s="336">
        <f>+ROUND((F69*F66*F64)/(1-F68)*F68,0)</f>
        <v>0</v>
      </c>
      <c r="G70" s="415"/>
      <c r="H70" s="244"/>
      <c r="I70" s="325"/>
      <c r="J70" s="243"/>
      <c r="K70" s="278"/>
      <c r="L70" s="243"/>
      <c r="M70" s="243"/>
      <c r="N70" s="243"/>
      <c r="O70" s="243"/>
      <c r="P70" s="243"/>
      <c r="Q70" s="278"/>
      <c r="R70" s="278"/>
      <c r="S70" s="243"/>
    </row>
    <row r="71" spans="2:19">
      <c r="B71" s="243"/>
      <c r="C71" s="248" t="s">
        <v>34</v>
      </c>
      <c r="D71" s="333"/>
      <c r="E71" s="244"/>
      <c r="F71" s="331">
        <f>+F69+F70</f>
        <v>0</v>
      </c>
      <c r="G71" s="331"/>
      <c r="H71" s="244"/>
      <c r="I71" s="325"/>
      <c r="J71" s="243"/>
      <c r="K71" s="278"/>
      <c r="L71" s="243"/>
      <c r="M71" s="243"/>
      <c r="N71" s="243"/>
      <c r="O71" s="243"/>
      <c r="P71" s="243"/>
      <c r="Q71" s="278"/>
      <c r="R71" s="278"/>
      <c r="S71" s="243"/>
    </row>
    <row r="72" spans="2:19">
      <c r="B72" s="243"/>
      <c r="C72" s="243"/>
      <c r="D72" s="292"/>
      <c r="E72" s="243"/>
      <c r="F72" s="243"/>
      <c r="G72" s="243"/>
      <c r="H72" s="243"/>
      <c r="I72" s="325"/>
      <c r="J72" s="243"/>
      <c r="K72" s="278"/>
      <c r="L72" s="243"/>
      <c r="M72" s="243"/>
      <c r="N72" s="243"/>
      <c r="O72" s="243"/>
      <c r="P72" s="243"/>
      <c r="Q72" s="278"/>
      <c r="R72" s="278"/>
      <c r="S72" s="243"/>
    </row>
    <row r="73" spans="2:19" ht="15.75">
      <c r="B73" s="243"/>
      <c r="C73" s="235" t="str">
        <f>"D.   Determine FCR with hypothetical "&amp;F13&amp;" basis point ROE increase."</f>
        <v>D.   Determine FCR with hypothetical 0 basis point ROE increase.</v>
      </c>
      <c r="D73" s="292"/>
      <c r="E73" s="243"/>
      <c r="F73" s="243"/>
      <c r="G73" s="243"/>
      <c r="H73" s="243"/>
      <c r="I73" s="212"/>
      <c r="J73" s="243"/>
      <c r="K73" s="278"/>
      <c r="L73" s="243"/>
      <c r="M73" s="243"/>
      <c r="N73" s="243"/>
      <c r="O73" s="243"/>
      <c r="P73" s="243"/>
      <c r="Q73" s="278"/>
      <c r="R73" s="278"/>
      <c r="S73" s="243"/>
    </row>
    <row r="74" spans="2:19">
      <c r="B74" s="243"/>
      <c r="C74" s="243"/>
      <c r="D74" s="292"/>
      <c r="E74" s="243"/>
      <c r="F74" s="243"/>
      <c r="G74" s="243"/>
      <c r="H74" s="243"/>
      <c r="I74" s="325"/>
      <c r="J74" s="243"/>
      <c r="K74" s="278"/>
      <c r="L74" s="243"/>
      <c r="M74" s="243"/>
      <c r="N74" s="243"/>
      <c r="O74" s="243"/>
      <c r="P74" s="243"/>
      <c r="Q74" s="278"/>
      <c r="R74" s="278"/>
      <c r="S74" s="243"/>
    </row>
    <row r="75" spans="2:19">
      <c r="B75" s="243"/>
      <c r="C75" s="311" t="str">
        <f>S123</f>
        <v xml:space="preserve">   Net Transmission Plant  (TCOS, ln 37)</v>
      </c>
      <c r="D75" s="292"/>
      <c r="E75" s="243"/>
      <c r="F75" s="326">
        <f>R123</f>
        <v>1230516864.8203597</v>
      </c>
      <c r="G75" s="326"/>
      <c r="I75" s="212"/>
      <c r="J75" s="243"/>
      <c r="K75" s="278"/>
      <c r="L75" s="243"/>
      <c r="M75" s="243"/>
      <c r="N75" s="243"/>
      <c r="O75" s="243"/>
      <c r="P75" s="243"/>
      <c r="Q75" s="278"/>
      <c r="R75" s="278"/>
      <c r="S75" s="243"/>
    </row>
    <row r="76" spans="2:19" ht="15">
      <c r="B76" s="243"/>
      <c r="C76" s="248" t="str">
        <f>"   Net Revenue Requirement, with "&amp;F13&amp;" Basis Point ROE increase"</f>
        <v xml:space="preserve">   Net Revenue Requirement, with 0 Basis Point ROE increase</v>
      </c>
      <c r="D76" s="292"/>
      <c r="E76" s="243"/>
      <c r="F76" s="416">
        <f>+F57</f>
        <v>183703423.58068511</v>
      </c>
      <c r="G76" s="416"/>
      <c r="I76" s="212"/>
      <c r="J76" s="243"/>
      <c r="K76" s="278"/>
      <c r="L76" s="243"/>
      <c r="M76" s="243"/>
      <c r="N76" s="243"/>
      <c r="O76" s="243"/>
      <c r="P76" s="243"/>
      <c r="Q76" s="278"/>
      <c r="R76" s="278"/>
      <c r="S76" s="243"/>
    </row>
    <row r="77" spans="2:19">
      <c r="B77" s="243"/>
      <c r="C77" s="248" t="str">
        <f>"   FCR with "&amp;F13&amp;" Basis Point increase in ROE"</f>
        <v xml:space="preserve">   FCR with 0 Basis Point increase in ROE</v>
      </c>
      <c r="D77" s="292"/>
      <c r="E77" s="243"/>
      <c r="F77" s="339">
        <f>IF(F75=0,0,F76/F75)</f>
        <v>0.14928964310253767</v>
      </c>
      <c r="G77" s="339"/>
      <c r="I77" s="212"/>
      <c r="J77" s="243"/>
      <c r="K77" s="278"/>
      <c r="L77" s="243"/>
      <c r="M77" s="243"/>
      <c r="N77" s="243"/>
      <c r="O77" s="243"/>
      <c r="P77" s="243"/>
      <c r="Q77" s="278"/>
      <c r="R77" s="278"/>
      <c r="S77" s="243"/>
    </row>
    <row r="78" spans="2:19">
      <c r="B78" s="243"/>
      <c r="D78" s="292"/>
      <c r="E78" s="243"/>
      <c r="F78" s="244"/>
      <c r="G78" s="244"/>
      <c r="H78" s="417"/>
      <c r="I78" s="212"/>
      <c r="J78" s="243"/>
      <c r="K78" s="278"/>
      <c r="L78" s="243"/>
      <c r="M78" s="243"/>
      <c r="N78" s="243"/>
      <c r="O78" s="243"/>
      <c r="P78" s="243"/>
      <c r="Q78" s="278"/>
      <c r="R78" s="278"/>
      <c r="S78" s="243"/>
    </row>
    <row r="79" spans="2:19">
      <c r="B79" s="243"/>
      <c r="C79" s="248" t="str">
        <f>"   Net Rev. Req, w / "&amp;F13&amp;" Basis Point ROE increase, less Dep."</f>
        <v xml:space="preserve">   Net Rev. Req, w / 0 Basis Point ROE increase, less Dep.</v>
      </c>
      <c r="D79" s="292"/>
      <c r="E79" s="243"/>
      <c r="F79" s="326">
        <f>+F59</f>
        <v>140760208.77238899</v>
      </c>
      <c r="G79" s="326"/>
      <c r="I79" s="212"/>
      <c r="J79" s="243"/>
      <c r="K79" s="278"/>
      <c r="L79" s="243"/>
      <c r="M79" s="243"/>
      <c r="N79" s="243"/>
      <c r="O79" s="243"/>
      <c r="P79" s="243"/>
      <c r="Q79" s="278"/>
      <c r="R79" s="278"/>
      <c r="S79" s="243"/>
    </row>
    <row r="80" spans="2:19">
      <c r="B80" s="243"/>
      <c r="C80" s="248" t="str">
        <f>"   FCR with "&amp;F13&amp;" Basis Point ROE increase, less Depreciation"</f>
        <v xml:space="preserve">   FCR with 0 Basis Point ROE increase, less Depreciation</v>
      </c>
      <c r="D80" s="292"/>
      <c r="E80" s="243"/>
      <c r="F80" s="339">
        <f>IF(F75=0,0,F79/F75)</f>
        <v>0.11439112522276422</v>
      </c>
      <c r="G80" s="339"/>
      <c r="H80" s="337"/>
      <c r="I80" s="212"/>
      <c r="J80" s="243"/>
      <c r="K80" s="278"/>
      <c r="L80" s="243"/>
      <c r="M80" s="243"/>
      <c r="N80" s="243"/>
      <c r="O80" s="243"/>
      <c r="P80" s="243"/>
      <c r="Q80" s="278"/>
      <c r="R80" s="278"/>
      <c r="S80" s="243"/>
    </row>
    <row r="81" spans="2:19">
      <c r="B81" s="243"/>
      <c r="C81" s="311" t="str">
        <f>S124</f>
        <v xml:space="preserve">   FCR less Depreciation  (TCOS, ln 10)</v>
      </c>
      <c r="D81" s="292"/>
      <c r="E81" s="243"/>
      <c r="F81" s="340">
        <f>R124</f>
        <v>0.11475877389767174</v>
      </c>
      <c r="G81" s="340"/>
      <c r="H81" s="418"/>
      <c r="I81" s="212"/>
      <c r="J81" s="243"/>
      <c r="K81" s="278"/>
      <c r="L81" s="243"/>
      <c r="M81" s="243"/>
      <c r="N81" s="243"/>
      <c r="O81" s="243"/>
      <c r="P81" s="243"/>
      <c r="Q81" s="278"/>
      <c r="R81" s="278"/>
      <c r="S81" s="243"/>
    </row>
    <row r="82" spans="2:19">
      <c r="B82" s="243"/>
      <c r="C82" s="248" t="str">
        <f>"   Incremental FCR with "&amp;F13&amp;" Basis Point ROE increase, less Depreciation"</f>
        <v xml:space="preserve">   Incremental FCR with 0 Basis Point ROE increase, less Depreciation</v>
      </c>
      <c r="D82" s="292"/>
      <c r="E82" s="243"/>
      <c r="F82" s="339">
        <f>F80-F81</f>
        <v>-3.6764867490751696E-4</v>
      </c>
      <c r="G82" s="339"/>
      <c r="I82" s="212"/>
      <c r="J82" s="243"/>
      <c r="K82" s="278"/>
      <c r="L82" s="243"/>
      <c r="M82" s="243"/>
      <c r="N82" s="243"/>
      <c r="O82" s="243"/>
      <c r="P82" s="243"/>
      <c r="Q82" s="278"/>
      <c r="R82" s="278"/>
      <c r="S82" s="243"/>
    </row>
    <row r="83" spans="2:19">
      <c r="B83" s="243"/>
      <c r="C83" s="248"/>
      <c r="D83" s="292"/>
      <c r="E83" s="243"/>
      <c r="F83" s="339"/>
      <c r="G83" s="339"/>
      <c r="H83" s="243"/>
      <c r="I83" s="325"/>
      <c r="J83" s="243"/>
      <c r="K83" s="278"/>
      <c r="L83" s="243"/>
      <c r="M83" s="243"/>
      <c r="N83" s="243"/>
      <c r="O83" s="243"/>
      <c r="P83" s="243"/>
      <c r="Q83" s="278"/>
      <c r="R83" s="278"/>
      <c r="S83" s="243"/>
    </row>
    <row r="84" spans="2:19" ht="18.75">
      <c r="B84" s="233" t="s">
        <v>35</v>
      </c>
      <c r="C84" s="305" t="s">
        <v>36</v>
      </c>
      <c r="D84" s="292"/>
      <c r="E84" s="243"/>
      <c r="F84" s="339"/>
      <c r="G84" s="339"/>
      <c r="H84" s="243"/>
      <c r="I84" s="325"/>
      <c r="J84" s="243"/>
      <c r="K84" s="278"/>
      <c r="L84" s="243"/>
      <c r="M84" s="243"/>
      <c r="N84" s="243"/>
      <c r="O84" s="243"/>
      <c r="P84" s="243"/>
      <c r="Q84" s="278"/>
      <c r="R84" s="278"/>
      <c r="S84" s="243"/>
    </row>
    <row r="85" spans="2:19" ht="12.75" customHeight="1">
      <c r="B85" s="233"/>
      <c r="C85" s="305"/>
      <c r="D85" s="292"/>
      <c r="E85" s="243"/>
      <c r="F85" s="339"/>
      <c r="G85" s="339"/>
      <c r="H85" s="243"/>
      <c r="I85" s="325"/>
      <c r="J85" s="243"/>
      <c r="K85" s="278"/>
      <c r="L85" s="243"/>
      <c r="M85" s="243"/>
      <c r="N85" s="243"/>
      <c r="O85" s="243"/>
      <c r="P85" s="243"/>
      <c r="Q85" s="278"/>
      <c r="R85" s="278"/>
      <c r="S85" s="243"/>
    </row>
    <row r="86" spans="2:19" ht="12.75" customHeight="1">
      <c r="B86" s="233"/>
      <c r="C86" s="248" t="s">
        <v>37</v>
      </c>
      <c r="D86" s="292"/>
      <c r="F86" s="419">
        <v>849082429</v>
      </c>
      <c r="G86" s="243" t="s">
        <v>241</v>
      </c>
      <c r="I86" s="657" t="s">
        <v>259</v>
      </c>
      <c r="J86" s="657"/>
      <c r="K86" s="657"/>
      <c r="L86" s="657"/>
      <c r="M86" s="657"/>
      <c r="N86" s="657"/>
      <c r="O86" s="243"/>
      <c r="P86" s="243"/>
      <c r="Q86" s="278"/>
      <c r="R86" s="278"/>
      <c r="S86" s="243"/>
    </row>
    <row r="87" spans="2:19" ht="12.75" customHeight="1">
      <c r="B87" s="233"/>
      <c r="C87" s="248" t="s">
        <v>38</v>
      </c>
      <c r="D87" s="292"/>
      <c r="F87" s="420">
        <v>958546907</v>
      </c>
      <c r="G87" s="243" t="s">
        <v>241</v>
      </c>
      <c r="I87" s="657"/>
      <c r="J87" s="657"/>
      <c r="K87" s="657"/>
      <c r="L87" s="657"/>
      <c r="M87" s="657"/>
      <c r="N87" s="657"/>
      <c r="O87" s="243"/>
      <c r="P87" s="243"/>
      <c r="Q87" s="278"/>
      <c r="R87" s="278"/>
      <c r="S87" s="243"/>
    </row>
    <row r="88" spans="2:19" ht="12.75" customHeight="1">
      <c r="B88" s="233"/>
      <c r="C88" s="248"/>
      <c r="D88" s="292"/>
      <c r="F88" s="332">
        <f>SUM(F86:F87)</f>
        <v>1807629336</v>
      </c>
      <c r="G88" s="325"/>
      <c r="H88" s="243"/>
      <c r="I88" s="657"/>
      <c r="J88" s="657"/>
      <c r="K88" s="657"/>
      <c r="L88" s="657"/>
      <c r="M88" s="657"/>
      <c r="N88" s="657"/>
      <c r="O88" s="243"/>
      <c r="P88" s="243"/>
      <c r="Q88" s="278"/>
      <c r="R88" s="278"/>
      <c r="S88" s="243"/>
    </row>
    <row r="89" spans="2:19">
      <c r="B89" s="243"/>
      <c r="C89" s="248" t="str">
        <f>+S125</f>
        <v>Transmission Plant @ Beginning of Period (P.206, ln 58)</v>
      </c>
      <c r="D89" s="333"/>
      <c r="E89" s="152"/>
      <c r="F89" s="342">
        <f>+F88/2</f>
        <v>903814668</v>
      </c>
      <c r="G89" s="323"/>
      <c r="I89" s="657"/>
      <c r="J89" s="657"/>
      <c r="K89" s="657"/>
      <c r="L89" s="657"/>
      <c r="M89" s="657"/>
      <c r="N89" s="657"/>
      <c r="O89" s="243"/>
      <c r="P89" s="243"/>
      <c r="Q89" s="278"/>
      <c r="R89" s="278"/>
      <c r="S89" s="243"/>
    </row>
    <row r="90" spans="2:19">
      <c r="B90" s="243"/>
      <c r="C90" s="236" t="str">
        <f>S128</f>
        <v>Annual Depreciation Expense  (TCOS, ln 86)</v>
      </c>
      <c r="D90" s="333"/>
      <c r="E90" s="244"/>
      <c r="F90" s="342">
        <f>R128</f>
        <v>42943214.808296099</v>
      </c>
      <c r="G90" s="323"/>
      <c r="I90" s="657"/>
      <c r="J90" s="657"/>
      <c r="K90" s="657"/>
      <c r="L90" s="657"/>
      <c r="M90" s="657"/>
      <c r="N90" s="657"/>
      <c r="O90" s="243"/>
      <c r="P90" s="243"/>
      <c r="Q90" s="278"/>
      <c r="R90" s="278"/>
      <c r="S90" s="243"/>
    </row>
    <row r="91" spans="2:19">
      <c r="B91" s="243"/>
      <c r="C91" s="248" t="s">
        <v>39</v>
      </c>
      <c r="D91" s="292"/>
      <c r="E91" s="243"/>
      <c r="F91" s="344">
        <f>F90/F89</f>
        <v>4.7513297060472248E-2</v>
      </c>
      <c r="G91" s="339"/>
      <c r="H91" s="243"/>
      <c r="I91" s="657"/>
      <c r="J91" s="657"/>
      <c r="K91" s="657"/>
      <c r="L91" s="657"/>
      <c r="M91" s="657"/>
      <c r="N91" s="657"/>
      <c r="O91" s="243"/>
      <c r="P91" s="243"/>
      <c r="Q91" s="278"/>
      <c r="R91" s="278"/>
      <c r="S91" s="243"/>
    </row>
    <row r="92" spans="2:19">
      <c r="B92" s="243"/>
      <c r="C92" s="248" t="s">
        <v>40</v>
      </c>
      <c r="D92" s="292"/>
      <c r="E92" s="243"/>
      <c r="F92" s="346">
        <f>IF(F91=0,0,1/F91)</f>
        <v>21.046739794278142</v>
      </c>
      <c r="G92" s="346"/>
      <c r="H92" s="243"/>
      <c r="I92" s="325"/>
      <c r="J92" s="243"/>
      <c r="K92" s="278"/>
      <c r="L92" s="243"/>
      <c r="M92" s="243"/>
      <c r="N92" s="243"/>
      <c r="O92" s="243"/>
      <c r="P92" s="243"/>
      <c r="Q92" s="278"/>
      <c r="R92" s="278"/>
      <c r="S92" s="243"/>
    </row>
    <row r="93" spans="2:19">
      <c r="B93" s="243"/>
      <c r="C93" s="248" t="s">
        <v>41</v>
      </c>
      <c r="D93" s="292"/>
      <c r="E93" s="243"/>
      <c r="F93" s="347">
        <f>ROUND(F92,0)</f>
        <v>21</v>
      </c>
      <c r="G93" s="347"/>
      <c r="H93" s="243"/>
      <c r="I93" s="325"/>
      <c r="J93" s="243"/>
      <c r="K93" s="278"/>
      <c r="L93" s="243"/>
      <c r="M93" s="243"/>
      <c r="N93" s="243"/>
      <c r="O93" s="243"/>
      <c r="P93" s="243"/>
      <c r="Q93" s="278"/>
      <c r="R93" s="278"/>
      <c r="S93" s="243"/>
    </row>
    <row r="94" spans="2:19">
      <c r="B94" s="243"/>
      <c r="C94" s="248"/>
      <c r="D94" s="292"/>
      <c r="E94" s="243"/>
      <c r="F94" s="347"/>
      <c r="G94" s="347"/>
      <c r="H94" s="243"/>
      <c r="I94" s="325"/>
      <c r="J94" s="243"/>
      <c r="K94" s="278"/>
      <c r="L94" s="243"/>
      <c r="M94" s="243"/>
      <c r="N94" s="243"/>
      <c r="O94" s="243"/>
      <c r="P94" s="243"/>
      <c r="Q94" s="278"/>
      <c r="R94" s="278"/>
      <c r="S94" s="243"/>
    </row>
    <row r="95" spans="2:19">
      <c r="B95" s="243"/>
      <c r="C95" s="248"/>
      <c r="D95" s="292"/>
      <c r="E95" s="243"/>
      <c r="F95" s="347"/>
      <c r="G95" s="347"/>
      <c r="H95" s="243"/>
      <c r="I95" s="325"/>
      <c r="J95" s="243"/>
      <c r="K95" s="278"/>
      <c r="L95" s="243"/>
      <c r="M95" s="243"/>
      <c r="N95" s="243"/>
      <c r="O95" s="243"/>
      <c r="P95" s="243"/>
      <c r="Q95" s="278"/>
      <c r="R95" s="278"/>
      <c r="S95" s="243"/>
    </row>
    <row r="96" spans="2:19">
      <c r="B96" s="243"/>
      <c r="C96" s="248"/>
      <c r="D96" s="292"/>
      <c r="E96" s="243"/>
      <c r="F96" s="347"/>
      <c r="G96" s="347"/>
      <c r="H96" s="243"/>
      <c r="I96" s="325"/>
      <c r="J96" s="243"/>
      <c r="K96" s="278"/>
      <c r="L96" s="243"/>
      <c r="M96" s="243"/>
      <c r="N96" s="243"/>
      <c r="O96" s="243"/>
      <c r="P96" s="243"/>
      <c r="Q96" s="278"/>
      <c r="R96" s="278"/>
      <c r="S96" s="243"/>
    </row>
    <row r="97" spans="3:19">
      <c r="C97" s="243"/>
      <c r="D97" s="292"/>
      <c r="E97" s="243"/>
      <c r="F97" s="243"/>
      <c r="G97" s="243"/>
      <c r="H97" s="243"/>
      <c r="I97" s="325"/>
      <c r="J97" s="243"/>
      <c r="K97" s="278"/>
      <c r="L97" s="243"/>
      <c r="M97" s="243"/>
      <c r="N97" s="243"/>
      <c r="O97" s="243"/>
      <c r="P97" s="243"/>
      <c r="Q97" s="278"/>
      <c r="R97" s="351" t="s">
        <v>111</v>
      </c>
      <c r="S97" s="352" t="s">
        <v>117</v>
      </c>
    </row>
    <row r="98" spans="3:19">
      <c r="C98" s="243"/>
      <c r="D98" s="292"/>
      <c r="E98" s="243"/>
      <c r="F98" s="243"/>
      <c r="G98" s="243"/>
      <c r="H98" s="243"/>
      <c r="I98" s="325"/>
      <c r="J98" s="243"/>
      <c r="K98" s="278"/>
      <c r="L98" s="243"/>
      <c r="M98" s="243"/>
      <c r="N98" s="243"/>
      <c r="O98" s="243"/>
      <c r="P98" s="243"/>
      <c r="Q98" s="278"/>
    </row>
    <row r="99" spans="3:19">
      <c r="C99" s="232" t="s">
        <v>108</v>
      </c>
      <c r="J99" s="220"/>
      <c r="L99" s="232" t="s">
        <v>107</v>
      </c>
      <c r="N99" s="243"/>
      <c r="O99" s="243"/>
      <c r="P99" s="243"/>
      <c r="Q99" s="278"/>
    </row>
    <row r="100" spans="3:19">
      <c r="C100" s="243"/>
      <c r="D100" s="292"/>
      <c r="E100" s="243"/>
      <c r="F100" s="243"/>
      <c r="G100" s="243"/>
      <c r="H100" s="243"/>
      <c r="I100" s="325"/>
      <c r="J100" s="243"/>
      <c r="K100" s="278"/>
      <c r="L100" s="243"/>
      <c r="M100" s="243"/>
      <c r="N100" s="243"/>
      <c r="O100" s="243"/>
      <c r="P100" s="243"/>
      <c r="Q100" s="278"/>
      <c r="S100" s="352" t="s">
        <v>105</v>
      </c>
    </row>
    <row r="101" spans="3:19">
      <c r="C101" s="243"/>
      <c r="D101" s="292"/>
      <c r="E101" s="243"/>
      <c r="F101" s="243"/>
      <c r="G101" s="243"/>
      <c r="H101" s="243"/>
      <c r="I101" s="325"/>
      <c r="J101" s="243"/>
      <c r="K101" s="278"/>
      <c r="L101" s="243"/>
      <c r="M101" s="243"/>
      <c r="N101" s="243"/>
      <c r="O101" s="243"/>
      <c r="P101" s="243"/>
      <c r="Q101" s="278"/>
      <c r="R101" s="351" t="s">
        <v>102</v>
      </c>
      <c r="S101" s="200" t="s">
        <v>119</v>
      </c>
    </row>
    <row r="102" spans="3:19" ht="13.5" thickBot="1">
      <c r="C102" s="243"/>
      <c r="D102" s="292"/>
      <c r="E102" s="243"/>
      <c r="F102" s="243"/>
      <c r="G102" s="243"/>
      <c r="H102" s="243"/>
      <c r="I102" s="325"/>
      <c r="J102" s="243"/>
      <c r="K102" s="278"/>
      <c r="L102" s="243"/>
      <c r="M102" s="243"/>
      <c r="N102" s="243"/>
      <c r="O102" s="243"/>
      <c r="Q102" s="278"/>
      <c r="R102" s="353" t="s">
        <v>186</v>
      </c>
    </row>
    <row r="103" spans="3:19">
      <c r="C103" s="243"/>
      <c r="D103" s="292"/>
      <c r="E103" s="243"/>
      <c r="F103" s="243"/>
      <c r="G103" s="243"/>
      <c r="H103" s="243"/>
      <c r="I103" s="325"/>
      <c r="J103" s="243"/>
      <c r="K103" s="278"/>
      <c r="L103" s="243"/>
      <c r="M103" s="243"/>
      <c r="N103" s="243"/>
      <c r="O103" s="243"/>
      <c r="Q103" s="278"/>
      <c r="R103" s="421" t="s">
        <v>178</v>
      </c>
      <c r="S103" s="422" t="s">
        <v>127</v>
      </c>
    </row>
    <row r="104" spans="3:19">
      <c r="C104" s="243"/>
      <c r="D104" s="292"/>
      <c r="E104" s="243"/>
      <c r="F104" s="243"/>
      <c r="G104" s="243"/>
      <c r="H104" s="243"/>
      <c r="I104" s="325"/>
      <c r="J104" s="243"/>
      <c r="K104" s="278"/>
      <c r="L104" s="243"/>
      <c r="M104" s="243"/>
      <c r="N104" s="243"/>
      <c r="O104" s="243"/>
      <c r="Q104" s="278"/>
      <c r="R104" s="356">
        <v>2020</v>
      </c>
      <c r="S104" s="423" t="s">
        <v>84</v>
      </c>
    </row>
    <row r="105" spans="3:19">
      <c r="C105" s="243"/>
      <c r="D105" s="292"/>
      <c r="E105" s="243"/>
      <c r="F105" s="243"/>
      <c r="G105" s="243"/>
      <c r="H105" s="243"/>
      <c r="I105" s="325"/>
      <c r="J105" s="243"/>
      <c r="K105" s="278"/>
      <c r="L105" s="243"/>
      <c r="M105" s="243"/>
      <c r="N105" s="243"/>
      <c r="O105" s="243"/>
      <c r="Q105" s="278"/>
      <c r="R105" s="424">
        <v>0.105</v>
      </c>
      <c r="S105" s="423" t="s">
        <v>270</v>
      </c>
    </row>
    <row r="106" spans="3:19">
      <c r="C106" s="243"/>
      <c r="D106" s="292"/>
      <c r="E106" s="243"/>
      <c r="F106" s="243"/>
      <c r="G106" s="243"/>
      <c r="H106" s="243"/>
      <c r="I106" s="325"/>
      <c r="J106" s="243"/>
      <c r="K106" s="278"/>
      <c r="L106" s="243"/>
      <c r="M106" s="243"/>
      <c r="N106" s="243"/>
      <c r="O106" s="243"/>
      <c r="Q106" s="278"/>
      <c r="R106" s="425">
        <v>0</v>
      </c>
      <c r="S106" s="423" t="s">
        <v>1</v>
      </c>
    </row>
    <row r="107" spans="3:19">
      <c r="C107" s="243"/>
      <c r="D107" s="292"/>
      <c r="E107" s="243"/>
      <c r="F107" s="243"/>
      <c r="G107" s="243"/>
      <c r="H107" s="243"/>
      <c r="I107" s="325"/>
      <c r="J107" s="243"/>
      <c r="K107" s="278"/>
      <c r="L107" s="243"/>
      <c r="M107" s="243"/>
      <c r="N107" s="243"/>
      <c r="O107" s="243"/>
      <c r="Q107" s="278"/>
      <c r="R107" s="424">
        <v>0.4524690885557221</v>
      </c>
      <c r="S107" s="426" t="s">
        <v>97</v>
      </c>
    </row>
    <row r="108" spans="3:19">
      <c r="C108" s="243"/>
      <c r="D108" s="292"/>
      <c r="E108" s="243"/>
      <c r="F108" s="243"/>
      <c r="G108" s="243"/>
      <c r="H108" s="243"/>
      <c r="I108" s="325"/>
      <c r="J108" s="243"/>
      <c r="K108" s="278"/>
      <c r="L108" s="243"/>
      <c r="M108" s="243"/>
      <c r="N108" s="243"/>
      <c r="O108" s="243"/>
      <c r="Q108" s="278"/>
      <c r="R108" s="427">
        <v>4.0682834836160274E-2</v>
      </c>
      <c r="S108" s="426" t="s">
        <v>98</v>
      </c>
    </row>
    <row r="109" spans="3:19">
      <c r="C109" s="243"/>
      <c r="D109" s="292"/>
      <c r="E109" s="243"/>
      <c r="F109" s="243"/>
      <c r="G109" s="243"/>
      <c r="H109" s="243"/>
      <c r="I109" s="325"/>
      <c r="J109" s="243"/>
      <c r="K109" s="278"/>
      <c r="L109" s="243"/>
      <c r="M109" s="243"/>
      <c r="N109" s="243"/>
      <c r="O109" s="243"/>
      <c r="Q109" s="278"/>
      <c r="R109" s="424">
        <v>0</v>
      </c>
      <c r="S109" s="426" t="s">
        <v>99</v>
      </c>
    </row>
    <row r="110" spans="3:19">
      <c r="C110" s="243"/>
      <c r="D110" s="292"/>
      <c r="E110" s="243"/>
      <c r="F110" s="243"/>
      <c r="G110" s="243"/>
      <c r="H110" s="243"/>
      <c r="I110" s="325"/>
      <c r="J110" s="243"/>
      <c r="K110" s="278"/>
      <c r="L110" s="243"/>
      <c r="M110" s="243"/>
      <c r="N110" s="243"/>
      <c r="O110" s="243"/>
      <c r="Q110" s="278"/>
      <c r="R110" s="427">
        <v>0</v>
      </c>
      <c r="S110" s="426" t="s">
        <v>100</v>
      </c>
    </row>
    <row r="111" spans="3:19">
      <c r="C111" s="243"/>
      <c r="D111" s="292"/>
      <c r="E111" s="243"/>
      <c r="F111" s="243"/>
      <c r="G111" s="243"/>
      <c r="H111" s="243"/>
      <c r="I111" s="325"/>
      <c r="J111" s="243"/>
      <c r="K111" s="278"/>
      <c r="L111" s="243"/>
      <c r="M111" s="243"/>
      <c r="N111" s="243"/>
      <c r="O111" s="243"/>
      <c r="Q111" s="278"/>
      <c r="R111" s="424">
        <v>0.5475309114442779</v>
      </c>
      <c r="S111" s="428" t="s">
        <v>101</v>
      </c>
    </row>
    <row r="112" spans="3:19">
      <c r="C112" s="243"/>
      <c r="D112" s="292"/>
      <c r="E112" s="243"/>
      <c r="F112" s="243"/>
      <c r="G112" s="243"/>
      <c r="H112" s="243"/>
      <c r="I112" s="325"/>
      <c r="J112" s="243"/>
      <c r="K112" s="278"/>
      <c r="L112" s="243"/>
      <c r="M112" s="243"/>
      <c r="N112" s="243"/>
      <c r="O112" s="243"/>
      <c r="Q112" s="278"/>
      <c r="R112" s="429">
        <v>1097562635.6731257</v>
      </c>
      <c r="S112" s="430" t="s">
        <v>271</v>
      </c>
    </row>
    <row r="113" spans="3:19">
      <c r="C113" s="243"/>
      <c r="D113" s="292"/>
      <c r="E113" s="243"/>
      <c r="F113" s="243"/>
      <c r="G113" s="243"/>
      <c r="H113" s="243"/>
      <c r="I113" s="325"/>
      <c r="J113" s="243"/>
      <c r="K113" s="278"/>
      <c r="L113" s="243"/>
      <c r="M113" s="243"/>
      <c r="N113" s="243"/>
      <c r="O113" s="243"/>
      <c r="Q113" s="278"/>
      <c r="R113" s="365">
        <v>0.24160000000000004</v>
      </c>
      <c r="S113" s="423" t="s">
        <v>272</v>
      </c>
    </row>
    <row r="114" spans="3:19">
      <c r="C114" s="243"/>
      <c r="D114" s="292"/>
      <c r="E114" s="243"/>
      <c r="F114" s="243"/>
      <c r="G114" s="243"/>
      <c r="H114" s="243"/>
      <c r="I114" s="325"/>
      <c r="J114" s="243"/>
      <c r="K114" s="278"/>
      <c r="L114" s="243"/>
      <c r="M114" s="243"/>
      <c r="N114" s="243"/>
      <c r="O114" s="243"/>
      <c r="Q114" s="278"/>
      <c r="R114" s="429">
        <v>0</v>
      </c>
      <c r="S114" s="423" t="s">
        <v>273</v>
      </c>
    </row>
    <row r="115" spans="3:19">
      <c r="C115" s="243"/>
      <c r="D115" s="292"/>
      <c r="E115" s="243"/>
      <c r="F115" s="243"/>
      <c r="G115" s="243"/>
      <c r="H115" s="243"/>
      <c r="I115" s="325"/>
      <c r="J115" s="243"/>
      <c r="K115" s="278"/>
      <c r="L115" s="243"/>
      <c r="M115" s="243"/>
      <c r="N115" s="243"/>
      <c r="O115" s="243"/>
      <c r="Q115" s="278"/>
      <c r="R115" s="429">
        <v>1311651.7140740554</v>
      </c>
      <c r="S115" s="423" t="s">
        <v>274</v>
      </c>
    </row>
    <row r="116" spans="3:19">
      <c r="C116" s="243"/>
      <c r="D116" s="292"/>
      <c r="E116" s="243"/>
      <c r="F116" s="243"/>
      <c r="G116" s="243"/>
      <c r="H116" s="243"/>
      <c r="I116" s="325"/>
      <c r="J116" s="243"/>
      <c r="K116" s="278"/>
      <c r="L116" s="243"/>
      <c r="M116" s="243"/>
      <c r="N116" s="243"/>
      <c r="O116" s="243"/>
      <c r="Q116" s="278"/>
      <c r="R116" s="429">
        <v>249555.68473101265</v>
      </c>
      <c r="S116" s="423" t="s">
        <v>275</v>
      </c>
    </row>
    <row r="117" spans="3:19">
      <c r="C117" s="243"/>
      <c r="D117" s="292"/>
      <c r="E117" s="243"/>
      <c r="F117" s="243"/>
      <c r="G117" s="243"/>
      <c r="H117" s="243"/>
      <c r="I117" s="325"/>
      <c r="J117" s="243"/>
      <c r="K117" s="278"/>
      <c r="L117" s="243"/>
      <c r="M117" s="243"/>
      <c r="N117" s="243"/>
      <c r="O117" s="243"/>
      <c r="Q117" s="278"/>
      <c r="R117" s="429">
        <v>184155821.47548768</v>
      </c>
      <c r="S117" s="423" t="s">
        <v>276</v>
      </c>
    </row>
    <row r="118" spans="3:19">
      <c r="C118" s="243"/>
      <c r="D118" s="292"/>
      <c r="E118" s="243"/>
      <c r="F118" s="243"/>
      <c r="G118" s="243"/>
      <c r="H118" s="243"/>
      <c r="I118" s="325"/>
      <c r="J118" s="243"/>
      <c r="K118" s="278"/>
      <c r="L118" s="243"/>
      <c r="M118" s="243"/>
      <c r="N118" s="243"/>
      <c r="O118" s="243"/>
      <c r="Q118" s="278"/>
      <c r="R118" s="429">
        <v>83303325.764377013</v>
      </c>
      <c r="S118" s="423" t="s">
        <v>277</v>
      </c>
    </row>
    <row r="119" spans="3:19">
      <c r="C119" s="243"/>
      <c r="D119" s="292"/>
      <c r="E119" s="243"/>
      <c r="F119" s="243"/>
      <c r="G119" s="243"/>
      <c r="H119" s="243"/>
      <c r="I119" s="325"/>
      <c r="J119" s="243"/>
      <c r="K119" s="278"/>
      <c r="L119" s="243"/>
      <c r="M119" s="243"/>
      <c r="N119" s="243"/>
      <c r="O119" s="243"/>
      <c r="Q119" s="278"/>
      <c r="R119" s="429">
        <v>21662586.831814442</v>
      </c>
      <c r="S119" s="423" t="s">
        <v>278</v>
      </c>
    </row>
    <row r="120" spans="3:19">
      <c r="C120" s="243"/>
      <c r="D120" s="292"/>
      <c r="E120" s="243"/>
      <c r="F120" s="243"/>
      <c r="G120" s="243"/>
      <c r="H120" s="243"/>
      <c r="I120" s="325"/>
      <c r="J120" s="243"/>
      <c r="K120" s="278"/>
      <c r="L120" s="243"/>
      <c r="M120" s="243"/>
      <c r="N120" s="243"/>
      <c r="O120" s="243"/>
      <c r="Q120" s="278"/>
      <c r="R120" s="429">
        <v>0</v>
      </c>
      <c r="S120" s="423" t="s">
        <v>279</v>
      </c>
    </row>
    <row r="121" spans="3:19">
      <c r="C121" s="243"/>
      <c r="D121" s="292"/>
      <c r="E121" s="243"/>
      <c r="F121" s="243"/>
      <c r="G121" s="243"/>
      <c r="H121" s="243"/>
      <c r="I121" s="325"/>
      <c r="J121" s="243"/>
      <c r="K121" s="278"/>
      <c r="L121" s="243"/>
      <c r="M121" s="243"/>
      <c r="N121" s="243"/>
      <c r="O121" s="243"/>
      <c r="Q121" s="278"/>
      <c r="R121" s="429">
        <v>42943214.808296099</v>
      </c>
      <c r="S121" s="423" t="s">
        <v>280</v>
      </c>
    </row>
    <row r="122" spans="3:19">
      <c r="C122" s="243"/>
      <c r="D122" s="292"/>
      <c r="E122" s="243"/>
      <c r="F122" s="243"/>
      <c r="G122" s="243"/>
      <c r="H122" s="243"/>
      <c r="I122" s="325"/>
      <c r="J122" s="243"/>
      <c r="K122" s="278"/>
      <c r="L122" s="243"/>
      <c r="M122" s="243"/>
      <c r="N122" s="243"/>
      <c r="O122" s="243"/>
      <c r="Q122" s="278"/>
      <c r="R122" s="365">
        <v>0</v>
      </c>
      <c r="S122" s="423" t="s">
        <v>104</v>
      </c>
    </row>
    <row r="123" spans="3:19">
      <c r="C123" s="243"/>
      <c r="D123" s="292"/>
      <c r="E123" s="243"/>
      <c r="F123" s="243"/>
      <c r="G123" s="243"/>
      <c r="H123" s="243"/>
      <c r="I123" s="325"/>
      <c r="J123" s="243"/>
      <c r="K123" s="278"/>
      <c r="L123" s="243"/>
      <c r="M123" s="243"/>
      <c r="N123" s="243"/>
      <c r="O123" s="243"/>
      <c r="Q123" s="278"/>
      <c r="R123" s="429">
        <v>1230516864.8203597</v>
      </c>
      <c r="S123" s="423" t="s">
        <v>281</v>
      </c>
    </row>
    <row r="124" spans="3:19">
      <c r="C124" s="243"/>
      <c r="D124" s="292"/>
      <c r="E124" s="243"/>
      <c r="F124" s="243"/>
      <c r="G124" s="243"/>
      <c r="H124" s="243"/>
      <c r="I124" s="325"/>
      <c r="J124" s="243"/>
      <c r="K124" s="278"/>
      <c r="L124" s="243"/>
      <c r="M124" s="243"/>
      <c r="N124" s="243"/>
      <c r="O124" s="243"/>
      <c r="Q124" s="278"/>
      <c r="R124" s="365">
        <v>0.11475877389767174</v>
      </c>
      <c r="S124" s="431" t="s">
        <v>282</v>
      </c>
    </row>
    <row r="125" spans="3:19">
      <c r="C125" s="243"/>
      <c r="D125" s="292"/>
      <c r="E125" s="243"/>
      <c r="F125" s="243"/>
      <c r="G125" s="243"/>
      <c r="H125" s="243"/>
      <c r="I125" s="325"/>
      <c r="J125" s="243"/>
      <c r="K125" s="278"/>
      <c r="L125" s="243"/>
      <c r="M125" s="243"/>
      <c r="N125" s="243"/>
      <c r="O125" s="243"/>
      <c r="Q125" s="278"/>
      <c r="R125" s="432">
        <v>1347223477.80827</v>
      </c>
      <c r="S125" s="248" t="s">
        <v>37</v>
      </c>
    </row>
    <row r="126" spans="3:19">
      <c r="C126" s="243"/>
      <c r="D126" s="292"/>
      <c r="E126" s="243"/>
      <c r="F126" s="243"/>
      <c r="G126" s="243"/>
      <c r="H126" s="243"/>
      <c r="I126" s="325"/>
      <c r="J126" s="243"/>
      <c r="K126" s="278"/>
      <c r="L126" s="243"/>
      <c r="M126" s="243"/>
      <c r="N126" s="243"/>
      <c r="O126" s="243"/>
      <c r="Q126" s="278"/>
      <c r="R126" s="432">
        <v>1498353044.5838799</v>
      </c>
      <c r="S126" s="248" t="s">
        <v>38</v>
      </c>
    </row>
    <row r="127" spans="3:19">
      <c r="C127" s="243"/>
      <c r="D127" s="292"/>
      <c r="E127" s="243"/>
      <c r="F127" s="243"/>
      <c r="G127" s="243"/>
      <c r="H127" s="243"/>
      <c r="I127" s="325"/>
      <c r="J127" s="243"/>
      <c r="K127" s="278"/>
      <c r="L127" s="243"/>
      <c r="M127" s="243"/>
      <c r="N127" s="243"/>
      <c r="O127" s="243"/>
      <c r="Q127" s="278"/>
      <c r="R127" s="432">
        <v>1411267311.8767002</v>
      </c>
      <c r="S127" s="372" t="s">
        <v>284</v>
      </c>
    </row>
    <row r="128" spans="3:19" ht="13.5" thickBot="1">
      <c r="C128" s="243"/>
      <c r="D128" s="292"/>
      <c r="E128" s="243"/>
      <c r="F128" s="243"/>
      <c r="G128" s="243"/>
      <c r="H128" s="243"/>
      <c r="I128" s="325"/>
      <c r="J128" s="243"/>
      <c r="K128" s="278"/>
      <c r="L128" s="243"/>
      <c r="M128" s="243"/>
      <c r="N128" s="243"/>
      <c r="O128" s="243"/>
      <c r="Q128" s="278"/>
      <c r="R128" s="433">
        <v>42943214.808296099</v>
      </c>
      <c r="S128" s="434" t="s">
        <v>283</v>
      </c>
    </row>
    <row r="129" spans="3:19">
      <c r="C129" s="243"/>
      <c r="D129" s="292"/>
      <c r="E129" s="243"/>
      <c r="F129" s="243"/>
      <c r="G129" s="243"/>
      <c r="H129" s="243"/>
      <c r="I129" s="325"/>
      <c r="J129" s="243"/>
      <c r="K129" s="278"/>
      <c r="L129" s="243"/>
      <c r="M129" s="243"/>
      <c r="N129" s="243"/>
      <c r="O129" s="243"/>
      <c r="Q129" s="278"/>
      <c r="R129" s="243"/>
      <c r="S129" s="243"/>
    </row>
    <row r="130" spans="3:19">
      <c r="C130" s="243"/>
      <c r="D130" s="292"/>
      <c r="E130" s="243"/>
      <c r="F130" s="243"/>
      <c r="G130" s="243"/>
      <c r="H130" s="243"/>
      <c r="I130" s="325"/>
      <c r="J130" s="243"/>
      <c r="K130" s="278"/>
      <c r="L130" s="243"/>
      <c r="M130" s="243"/>
      <c r="N130" s="243"/>
      <c r="O130" s="243"/>
      <c r="Q130" s="278"/>
      <c r="R130" s="351" t="s">
        <v>103</v>
      </c>
      <c r="S130" s="243" t="s">
        <v>115</v>
      </c>
    </row>
    <row r="131" spans="3:19" ht="13.5" thickBot="1">
      <c r="C131" s="243"/>
      <c r="D131" s="292"/>
      <c r="E131" s="243"/>
      <c r="F131" s="243"/>
      <c r="G131" s="243"/>
      <c r="H131" s="243"/>
      <c r="I131" s="325"/>
      <c r="J131" s="243"/>
      <c r="K131" s="278"/>
      <c r="L131" s="243"/>
      <c r="M131" s="243"/>
      <c r="N131" s="243"/>
      <c r="O131" s="243"/>
      <c r="Q131" s="278"/>
      <c r="R131" s="353" t="s">
        <v>187</v>
      </c>
      <c r="S131" s="243"/>
    </row>
    <row r="132" spans="3:19">
      <c r="C132" s="243"/>
      <c r="D132" s="292"/>
      <c r="E132" s="243"/>
      <c r="F132" s="243"/>
      <c r="G132" s="243"/>
      <c r="H132" s="243"/>
      <c r="I132" s="325"/>
      <c r="J132" s="243"/>
      <c r="K132" s="278"/>
      <c r="L132" s="243"/>
      <c r="M132" s="243"/>
      <c r="N132" s="243"/>
      <c r="O132" s="243"/>
      <c r="Q132" s="278"/>
      <c r="R132" s="377">
        <f>+N17</f>
        <v>38282711.552259907</v>
      </c>
      <c r="S132" s="145" t="s">
        <v>120</v>
      </c>
    </row>
    <row r="133" spans="3:19">
      <c r="C133" s="243"/>
      <c r="D133" s="292"/>
      <c r="E133" s="243"/>
      <c r="F133" s="243"/>
      <c r="G133" s="243"/>
      <c r="H133" s="243"/>
      <c r="I133" s="325"/>
      <c r="J133" s="243"/>
      <c r="K133" s="278"/>
      <c r="L133" s="243"/>
      <c r="M133" s="243"/>
      <c r="N133" s="243"/>
      <c r="O133" s="243"/>
      <c r="Q133" s="278"/>
      <c r="R133" s="378">
        <f>+O17</f>
        <v>38282711.552259907</v>
      </c>
      <c r="S133" s="145" t="s">
        <v>121</v>
      </c>
    </row>
    <row r="134" spans="3:19">
      <c r="C134" s="243"/>
      <c r="D134" s="292"/>
      <c r="E134" s="243"/>
      <c r="F134" s="243"/>
      <c r="G134" s="243"/>
      <c r="H134" s="243"/>
      <c r="I134" s="325"/>
      <c r="J134" s="243"/>
      <c r="K134" s="278"/>
      <c r="L134" s="243"/>
      <c r="M134" s="243"/>
      <c r="N134" s="243"/>
      <c r="O134" s="243"/>
      <c r="Q134" s="278"/>
      <c r="R134" s="435">
        <f>+N18</f>
        <v>40157878.736548707</v>
      </c>
      <c r="S134" s="145" t="s">
        <v>122</v>
      </c>
    </row>
    <row r="135" spans="3:19" ht="13.5" thickBot="1">
      <c r="C135" s="243"/>
      <c r="D135" s="292"/>
      <c r="E135" s="243"/>
      <c r="F135" s="243"/>
      <c r="G135" s="243"/>
      <c r="H135" s="243"/>
      <c r="I135" s="325"/>
      <c r="J135" s="243"/>
      <c r="K135" s="278"/>
      <c r="L135" s="243"/>
      <c r="M135" s="243"/>
      <c r="N135" s="243"/>
      <c r="O135" s="243"/>
      <c r="Q135" s="278"/>
      <c r="R135" s="436">
        <f>+O18</f>
        <v>40157878.736548707</v>
      </c>
      <c r="S135" s="145" t="s">
        <v>123</v>
      </c>
    </row>
    <row r="136" spans="3:19">
      <c r="C136" s="243"/>
      <c r="D136" s="292"/>
      <c r="E136" s="243"/>
      <c r="F136" s="243"/>
      <c r="G136" s="243"/>
      <c r="H136" s="243"/>
      <c r="I136" s="325"/>
      <c r="J136" s="243"/>
      <c r="K136" s="278"/>
      <c r="L136" s="243"/>
      <c r="M136" s="243"/>
      <c r="N136" s="243"/>
      <c r="O136" s="243"/>
      <c r="Q136" s="278"/>
      <c r="R136" s="243"/>
      <c r="S136" s="243"/>
    </row>
    <row r="137" spans="3:19">
      <c r="C137" s="243"/>
      <c r="D137" s="292"/>
      <c r="E137" s="243"/>
      <c r="F137" s="243"/>
      <c r="G137" s="243"/>
      <c r="H137" s="243"/>
      <c r="I137" s="325"/>
      <c r="J137" s="243"/>
      <c r="K137" s="278"/>
      <c r="L137" s="243"/>
      <c r="M137" s="243"/>
      <c r="N137" s="243"/>
      <c r="O137" s="243"/>
      <c r="Q137" s="278"/>
      <c r="R137" s="351" t="s">
        <v>113</v>
      </c>
      <c r="S137" s="352" t="s">
        <v>118</v>
      </c>
    </row>
  </sheetData>
  <mergeCells count="7">
    <mergeCell ref="I86:N91"/>
    <mergeCell ref="C8:I8"/>
    <mergeCell ref="A1:K1"/>
    <mergeCell ref="A2:K2"/>
    <mergeCell ref="A3:K3"/>
    <mergeCell ref="A4:K4"/>
    <mergeCell ref="A5:K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&amp;R&amp;16AEPTCo - SPP Formula Rate
&amp;A TCOS - WS G
Page: &amp;P of &amp;N
</oddHeader>
    <oddFooter xml:space="preserve">&amp;C &amp;R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U163"/>
  <sheetViews>
    <sheetView view="pageBreakPreview" topLeftCell="A10" zoomScale="90" zoomScaleNormal="100" zoomScaleSheetLayoutView="90"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14062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1 of 23</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t="str">
        <f>RIGHT(N3,3)</f>
        <v/>
      </c>
      <c r="P3" s="442">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83794.43683291944</v>
      </c>
      <c r="P5" s="243"/>
      <c r="R5" s="243"/>
      <c r="S5" s="243"/>
      <c r="T5" s="243"/>
      <c r="U5" s="243"/>
    </row>
    <row r="6" spans="1:21" ht="15.75">
      <c r="C6" s="235"/>
      <c r="D6" s="292"/>
      <c r="E6" s="243"/>
      <c r="F6" s="243"/>
      <c r="G6" s="243"/>
      <c r="H6" s="449"/>
      <c r="I6" s="449"/>
      <c r="J6" s="450"/>
      <c r="K6" s="451" t="s">
        <v>243</v>
      </c>
      <c r="L6" s="452"/>
      <c r="M6" s="278"/>
      <c r="N6" s="453">
        <f>VLOOKUP(I10,C17:I73,6)</f>
        <v>83794.43683291944</v>
      </c>
      <c r="O6" s="243"/>
      <c r="P6" s="243"/>
      <c r="R6" s="243"/>
      <c r="S6" s="243"/>
      <c r="T6" s="243"/>
      <c r="U6" s="243"/>
    </row>
    <row r="7" spans="1:21" ht="13.5" thickBot="1">
      <c r="C7" s="454" t="s">
        <v>46</v>
      </c>
      <c r="D7" s="455" t="s">
        <v>191</v>
      </c>
      <c r="E7" s="330"/>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196</v>
      </c>
      <c r="E9" s="647" t="s">
        <v>312</v>
      </c>
      <c r="F9" s="465"/>
      <c r="G9" s="465"/>
      <c r="H9" s="465"/>
      <c r="I9" s="466"/>
      <c r="J9" s="467"/>
      <c r="O9" s="468"/>
      <c r="P9" s="278"/>
      <c r="R9" s="243"/>
      <c r="S9" s="243"/>
      <c r="T9" s="243"/>
      <c r="U9" s="243"/>
    </row>
    <row r="10" spans="1:21">
      <c r="C10" s="469" t="s">
        <v>49</v>
      </c>
      <c r="D10" s="470">
        <v>723818</v>
      </c>
      <c r="E10" s="299" t="s">
        <v>50</v>
      </c>
      <c r="F10" s="468"/>
      <c r="G10" s="408"/>
      <c r="H10" s="408"/>
      <c r="I10" s="471">
        <f>+OKT.WS.F.BPU.ATRR.Projected!R101</f>
        <v>2022</v>
      </c>
      <c r="J10" s="467"/>
      <c r="K10" s="294" t="s">
        <v>51</v>
      </c>
      <c r="O10" s="278"/>
      <c r="P10" s="278"/>
      <c r="R10" s="243"/>
      <c r="S10" s="243"/>
      <c r="T10" s="243"/>
      <c r="U10" s="243"/>
    </row>
    <row r="11" spans="1:21">
      <c r="C11" s="472" t="s">
        <v>52</v>
      </c>
      <c r="D11" s="473">
        <v>2010</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12</v>
      </c>
      <c r="E12" s="472" t="s">
        <v>55</v>
      </c>
      <c r="F12" s="408"/>
      <c r="G12" s="220"/>
      <c r="H12" s="220"/>
      <c r="I12" s="476">
        <f>OKT.WS.F.BPU.ATRR.Projected!$F$79</f>
        <v>0.11475877389767174</v>
      </c>
      <c r="J12" s="413"/>
      <c r="K12" s="145" t="s">
        <v>56</v>
      </c>
      <c r="O12" s="278"/>
      <c r="P12" s="278"/>
      <c r="R12" s="243"/>
      <c r="S12" s="243"/>
      <c r="T12" s="243"/>
      <c r="U12" s="243"/>
    </row>
    <row r="13" spans="1:21">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c r="R13" s="243"/>
      <c r="S13" s="243"/>
      <c r="T13" s="243"/>
      <c r="U13" s="243"/>
    </row>
    <row r="14" spans="1:21" ht="13.5" thickBot="1">
      <c r="C14" s="472" t="s">
        <v>60</v>
      </c>
      <c r="D14" s="473"/>
      <c r="E14" s="278" t="s">
        <v>62</v>
      </c>
      <c r="F14" s="408"/>
      <c r="G14" s="220"/>
      <c r="H14" s="220"/>
      <c r="I14" s="477">
        <f>IF(D10=0,0,D10/D13)</f>
        <v>21933.878787878788</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488"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IF(D17=F16,"","IU")</f>
        <v>IU</v>
      </c>
      <c r="C17" s="495">
        <f>IF(D11= "","-",D11)</f>
        <v>2010</v>
      </c>
      <c r="D17" s="496">
        <v>767749</v>
      </c>
      <c r="E17" s="497">
        <v>0</v>
      </c>
      <c r="F17" s="496">
        <v>767749</v>
      </c>
      <c r="G17" s="498">
        <v>92753.205799400443</v>
      </c>
      <c r="H17" s="499">
        <v>92753.205799400443</v>
      </c>
      <c r="I17" s="500">
        <f t="shared" ref="I17:I49" si="0">H17-G17</f>
        <v>0</v>
      </c>
      <c r="J17" s="500"/>
      <c r="K17" s="501">
        <f t="shared" ref="K17:K22" si="1">G17</f>
        <v>92753.205799400443</v>
      </c>
      <c r="L17" s="502">
        <f t="shared" ref="L17:L49" si="2">IF(K17&lt;&gt;0,+G17-K17,0)</f>
        <v>0</v>
      </c>
      <c r="M17" s="501">
        <f t="shared" ref="M17:M22" si="3">H17</f>
        <v>92753.205799400443</v>
      </c>
      <c r="N17" s="503">
        <f t="shared" ref="N17:N49" si="4">IF(M17&lt;&gt;0,+H17-M17,0)</f>
        <v>0</v>
      </c>
      <c r="O17" s="504">
        <f t="shared" ref="O17:O49" si="5">+N17-L17</f>
        <v>0</v>
      </c>
      <c r="P17" s="278"/>
      <c r="R17" s="243"/>
      <c r="S17" s="243"/>
      <c r="T17" s="243"/>
      <c r="U17" s="243"/>
    </row>
    <row r="18" spans="2:21">
      <c r="B18" s="145" t="str">
        <f>IF(D18=F17,"","IU")</f>
        <v/>
      </c>
      <c r="C18" s="495">
        <f>IF(D11="","-",+C17+1)</f>
        <v>2011</v>
      </c>
      <c r="D18" s="505">
        <v>767749</v>
      </c>
      <c r="E18" s="498">
        <v>10981.365584860865</v>
      </c>
      <c r="F18" s="505">
        <v>756767.63441513909</v>
      </c>
      <c r="G18" s="498">
        <v>109365.67160279222</v>
      </c>
      <c r="H18" s="499">
        <v>109365.67160279222</v>
      </c>
      <c r="I18" s="500">
        <f t="shared" si="0"/>
        <v>0</v>
      </c>
      <c r="J18" s="500"/>
      <c r="K18" s="506">
        <f t="shared" si="1"/>
        <v>109365.67160279222</v>
      </c>
      <c r="L18" s="507">
        <f t="shared" si="2"/>
        <v>0</v>
      </c>
      <c r="M18" s="506">
        <f t="shared" si="3"/>
        <v>109365.67160279222</v>
      </c>
      <c r="N18" s="504">
        <f t="shared" si="4"/>
        <v>0</v>
      </c>
      <c r="O18" s="504">
        <f t="shared" si="5"/>
        <v>0</v>
      </c>
      <c r="P18" s="278"/>
      <c r="R18" s="243"/>
      <c r="S18" s="243"/>
      <c r="T18" s="243"/>
      <c r="U18" s="243"/>
    </row>
    <row r="19" spans="2:21">
      <c r="B19" s="145" t="str">
        <f t="shared" ref="B19:B73" si="6">IF(D19=F18,"","IU")</f>
        <v/>
      </c>
      <c r="C19" s="495">
        <f>IF(D11="","-",+C18+1)</f>
        <v>2012</v>
      </c>
      <c r="D19" s="505">
        <v>756767.63441513909</v>
      </c>
      <c r="E19" s="498">
        <v>12221.81530625035</v>
      </c>
      <c r="F19" s="505">
        <v>744545.81910888874</v>
      </c>
      <c r="G19" s="498">
        <v>84179.959434377466</v>
      </c>
      <c r="H19" s="499">
        <v>84179.959434377466</v>
      </c>
      <c r="I19" s="500">
        <v>0</v>
      </c>
      <c r="J19" s="500"/>
      <c r="K19" s="506">
        <f t="shared" si="1"/>
        <v>84179.959434377466</v>
      </c>
      <c r="L19" s="504">
        <f t="shared" si="2"/>
        <v>0</v>
      </c>
      <c r="M19" s="506">
        <f t="shared" si="3"/>
        <v>84179.959434377466</v>
      </c>
      <c r="N19" s="504">
        <f t="shared" si="4"/>
        <v>0</v>
      </c>
      <c r="O19" s="504">
        <f t="shared" si="5"/>
        <v>0</v>
      </c>
      <c r="P19" s="278"/>
      <c r="R19" s="243"/>
      <c r="S19" s="243"/>
      <c r="T19" s="243"/>
      <c r="U19" s="243"/>
    </row>
    <row r="20" spans="2:21">
      <c r="B20" s="145" t="str">
        <f t="shared" si="6"/>
        <v>IU</v>
      </c>
      <c r="C20" s="495">
        <f>IF(D11="","-",+C19+1)</f>
        <v>2013</v>
      </c>
      <c r="D20" s="505">
        <v>700614.81910888874</v>
      </c>
      <c r="E20" s="498">
        <v>12521.479662412485</v>
      </c>
      <c r="F20" s="505">
        <v>688093.33944647631</v>
      </c>
      <c r="G20" s="498">
        <v>87689.629791132116</v>
      </c>
      <c r="H20" s="499">
        <v>87689.629791132116</v>
      </c>
      <c r="I20" s="500">
        <v>0</v>
      </c>
      <c r="J20" s="500"/>
      <c r="K20" s="506">
        <f t="shared" si="1"/>
        <v>87689.629791132116</v>
      </c>
      <c r="L20" s="504">
        <f t="shared" ref="L20:L25" si="7">IF(K20&lt;&gt;0,+G20-K20,0)</f>
        <v>0</v>
      </c>
      <c r="M20" s="506">
        <f t="shared" si="3"/>
        <v>87689.629791132116</v>
      </c>
      <c r="N20" s="504">
        <f>IF(M20&lt;&gt;0,+H20-M20,0)</f>
        <v>0</v>
      </c>
      <c r="O20" s="504">
        <f>+N20-L20</f>
        <v>0</v>
      </c>
      <c r="P20" s="278"/>
      <c r="R20" s="243"/>
      <c r="S20" s="243"/>
      <c r="T20" s="243"/>
      <c r="U20" s="243"/>
    </row>
    <row r="21" spans="2:21">
      <c r="B21" s="145" t="str">
        <f t="shared" si="6"/>
        <v/>
      </c>
      <c r="C21" s="495">
        <f>IF(D12="","-",+C20+1)</f>
        <v>2014</v>
      </c>
      <c r="D21" s="505">
        <v>688093.33944647631</v>
      </c>
      <c r="E21" s="498">
        <v>12521.479662412485</v>
      </c>
      <c r="F21" s="505">
        <v>675571.85978406388</v>
      </c>
      <c r="G21" s="498">
        <v>86852.845850246973</v>
      </c>
      <c r="H21" s="499">
        <v>86852.845850246973</v>
      </c>
      <c r="I21" s="500">
        <v>0</v>
      </c>
      <c r="J21" s="500"/>
      <c r="K21" s="506">
        <f t="shared" si="1"/>
        <v>86852.845850246973</v>
      </c>
      <c r="L21" s="504">
        <f t="shared" si="7"/>
        <v>0</v>
      </c>
      <c r="M21" s="506">
        <f t="shared" si="3"/>
        <v>86852.845850246973</v>
      </c>
      <c r="N21" s="504">
        <f>IF(M21&lt;&gt;0,+H21-M21,0)</f>
        <v>0</v>
      </c>
      <c r="O21" s="504">
        <f>+N21-L21</f>
        <v>0</v>
      </c>
      <c r="P21" s="278"/>
      <c r="R21" s="243"/>
      <c r="S21" s="243"/>
      <c r="T21" s="243"/>
      <c r="U21" s="243"/>
    </row>
    <row r="22" spans="2:21">
      <c r="B22" s="145" t="str">
        <f t="shared" si="6"/>
        <v/>
      </c>
      <c r="C22" s="495">
        <f>IF(D11="","-",+C21+1)</f>
        <v>2015</v>
      </c>
      <c r="D22" s="505">
        <v>675571.85978406388</v>
      </c>
      <c r="E22" s="498">
        <v>12521.479662412485</v>
      </c>
      <c r="F22" s="505">
        <v>663050.38012165145</v>
      </c>
      <c r="G22" s="498">
        <v>80859.057608604737</v>
      </c>
      <c r="H22" s="499">
        <v>80859.057608604737</v>
      </c>
      <c r="I22" s="500">
        <f t="shared" si="0"/>
        <v>0</v>
      </c>
      <c r="J22" s="500"/>
      <c r="K22" s="506">
        <f t="shared" si="1"/>
        <v>80859.057608604737</v>
      </c>
      <c r="L22" s="504">
        <f t="shared" si="7"/>
        <v>0</v>
      </c>
      <c r="M22" s="506">
        <f t="shared" si="3"/>
        <v>80859.057608604737</v>
      </c>
      <c r="N22" s="504">
        <f>IF(M22&lt;&gt;0,+H22-M22,0)</f>
        <v>0</v>
      </c>
      <c r="O22" s="504">
        <f>+N22-L22</f>
        <v>0</v>
      </c>
      <c r="P22" s="278"/>
      <c r="R22" s="243"/>
      <c r="S22" s="243"/>
      <c r="T22" s="243"/>
      <c r="U22" s="243"/>
    </row>
    <row r="23" spans="2:21">
      <c r="B23" s="145" t="str">
        <f t="shared" si="6"/>
        <v/>
      </c>
      <c r="C23" s="495">
        <f>IF(D11="","-",+C22+1)</f>
        <v>2016</v>
      </c>
      <c r="D23" s="505">
        <v>663050.38012165145</v>
      </c>
      <c r="E23" s="498">
        <v>15040.542945521509</v>
      </c>
      <c r="F23" s="505">
        <v>648009.83717612992</v>
      </c>
      <c r="G23" s="498">
        <v>84948.083991581108</v>
      </c>
      <c r="H23" s="499">
        <v>84948.083991581108</v>
      </c>
      <c r="I23" s="500">
        <f t="shared" si="0"/>
        <v>0</v>
      </c>
      <c r="J23" s="500"/>
      <c r="K23" s="506">
        <f t="shared" ref="K23:K28" si="8">G23</f>
        <v>84948.083991581108</v>
      </c>
      <c r="L23" s="504">
        <f t="shared" si="7"/>
        <v>0</v>
      </c>
      <c r="M23" s="506">
        <f t="shared" ref="M23:M28" si="9">H23</f>
        <v>84948.083991581108</v>
      </c>
      <c r="N23" s="504">
        <f t="shared" si="4"/>
        <v>0</v>
      </c>
      <c r="O23" s="504">
        <f t="shared" si="5"/>
        <v>0</v>
      </c>
      <c r="P23" s="278"/>
      <c r="R23" s="243"/>
      <c r="S23" s="243"/>
      <c r="T23" s="243"/>
      <c r="U23" s="243"/>
    </row>
    <row r="24" spans="2:21">
      <c r="B24" s="145" t="str">
        <f t="shared" si="6"/>
        <v/>
      </c>
      <c r="C24" s="495">
        <f>IF(D11="","-",+C23+1)</f>
        <v>2017</v>
      </c>
      <c r="D24" s="505">
        <v>648009.83717612992</v>
      </c>
      <c r="E24" s="498">
        <v>14231.694883080969</v>
      </c>
      <c r="F24" s="505">
        <v>633778.14229304891</v>
      </c>
      <c r="G24" s="498">
        <v>84691.562397354341</v>
      </c>
      <c r="H24" s="499">
        <v>84691.562397354341</v>
      </c>
      <c r="I24" s="500">
        <f t="shared" si="0"/>
        <v>0</v>
      </c>
      <c r="J24" s="500"/>
      <c r="K24" s="506">
        <f t="shared" si="8"/>
        <v>84691.562397354341</v>
      </c>
      <c r="L24" s="504">
        <f t="shared" si="7"/>
        <v>0</v>
      </c>
      <c r="M24" s="506">
        <f t="shared" si="9"/>
        <v>84691.562397354341</v>
      </c>
      <c r="N24" s="504">
        <f>IF(M24&lt;&gt;0,+H24-M24,0)</f>
        <v>0</v>
      </c>
      <c r="O24" s="504">
        <f>+N24-L24</f>
        <v>0</v>
      </c>
      <c r="P24" s="278"/>
      <c r="R24" s="243"/>
      <c r="S24" s="243"/>
      <c r="T24" s="243"/>
      <c r="U24" s="243"/>
    </row>
    <row r="25" spans="2:21">
      <c r="B25" s="145" t="str">
        <f t="shared" si="6"/>
        <v/>
      </c>
      <c r="C25" s="495">
        <f>IF(D11="","-",+C24+1)</f>
        <v>2018</v>
      </c>
      <c r="D25" s="505">
        <v>633778.14229304891</v>
      </c>
      <c r="E25" s="498">
        <v>17751.333847969061</v>
      </c>
      <c r="F25" s="505">
        <v>616026.80844507983</v>
      </c>
      <c r="G25" s="498">
        <v>81256.204053950511</v>
      </c>
      <c r="H25" s="499">
        <v>81256.204053950511</v>
      </c>
      <c r="I25" s="500">
        <f t="shared" si="0"/>
        <v>0</v>
      </c>
      <c r="J25" s="500"/>
      <c r="K25" s="506">
        <f t="shared" si="8"/>
        <v>81256.204053950511</v>
      </c>
      <c r="L25" s="504">
        <f t="shared" si="7"/>
        <v>0</v>
      </c>
      <c r="M25" s="506">
        <f t="shared" si="9"/>
        <v>81256.204053950511</v>
      </c>
      <c r="N25" s="504">
        <f>IF(M25&lt;&gt;0,+H25-M25,0)</f>
        <v>0</v>
      </c>
      <c r="O25" s="504">
        <f>+N25-L25</f>
        <v>0</v>
      </c>
      <c r="P25" s="278"/>
      <c r="R25" s="243"/>
      <c r="S25" s="243"/>
      <c r="T25" s="243"/>
      <c r="U25" s="243"/>
    </row>
    <row r="26" spans="2:21">
      <c r="B26" s="145" t="str">
        <f t="shared" si="6"/>
        <v/>
      </c>
      <c r="C26" s="495">
        <f>IF(D11="","-",+C25+1)</f>
        <v>2019</v>
      </c>
      <c r="D26" s="505">
        <v>616026.80844507983</v>
      </c>
      <c r="E26" s="498">
        <v>21467.607261508991</v>
      </c>
      <c r="F26" s="505">
        <v>594559.2011835709</v>
      </c>
      <c r="G26" s="498">
        <v>84379.319531027868</v>
      </c>
      <c r="H26" s="499">
        <v>84379.319531027868</v>
      </c>
      <c r="I26" s="500">
        <f t="shared" si="0"/>
        <v>0</v>
      </c>
      <c r="J26" s="500"/>
      <c r="K26" s="506">
        <f t="shared" si="8"/>
        <v>84379.319531027868</v>
      </c>
      <c r="L26" s="504">
        <f t="shared" ref="L26" si="10">IF(K26&lt;&gt;0,+G26-K26,0)</f>
        <v>0</v>
      </c>
      <c r="M26" s="506">
        <f t="shared" si="9"/>
        <v>84379.319531027868</v>
      </c>
      <c r="N26" s="504">
        <f>IF(M26&lt;&gt;0,+H26-M26,0)</f>
        <v>0</v>
      </c>
      <c r="O26" s="504">
        <f>+N26-L26</f>
        <v>0</v>
      </c>
      <c r="P26" s="278"/>
      <c r="R26" s="243"/>
      <c r="S26" s="243"/>
      <c r="T26" s="243"/>
      <c r="U26" s="243"/>
    </row>
    <row r="27" spans="2:21">
      <c r="B27" s="145" t="str">
        <f t="shared" si="6"/>
        <v>IU</v>
      </c>
      <c r="C27" s="495">
        <f>IF(D11="","-",+C26+1)</f>
        <v>2020</v>
      </c>
      <c r="D27" s="505">
        <v>598275.47459711076</v>
      </c>
      <c r="E27" s="498">
        <v>21194.679776158337</v>
      </c>
      <c r="F27" s="505">
        <v>577080.79482095246</v>
      </c>
      <c r="G27" s="498">
        <v>82861.19585201345</v>
      </c>
      <c r="H27" s="499">
        <v>82861.19585201345</v>
      </c>
      <c r="I27" s="500">
        <f t="shared" si="0"/>
        <v>0</v>
      </c>
      <c r="J27" s="500"/>
      <c r="K27" s="506">
        <f t="shared" si="8"/>
        <v>82861.19585201345</v>
      </c>
      <c r="L27" s="504">
        <f t="shared" ref="L27" si="11">IF(K27&lt;&gt;0,+G27-K27,0)</f>
        <v>0</v>
      </c>
      <c r="M27" s="506">
        <f t="shared" si="9"/>
        <v>82861.19585201345</v>
      </c>
      <c r="N27" s="504">
        <f>IF(M27&lt;&gt;0,+H27-M27,0)</f>
        <v>0</v>
      </c>
      <c r="O27" s="504">
        <f>+N27-L27</f>
        <v>0</v>
      </c>
      <c r="P27" s="278"/>
      <c r="R27" s="243"/>
      <c r="S27" s="243"/>
      <c r="T27" s="243"/>
      <c r="U27" s="243"/>
    </row>
    <row r="28" spans="2:21">
      <c r="B28" s="145" t="str">
        <f t="shared" si="6"/>
        <v>IU</v>
      </c>
      <c r="C28" s="495">
        <f>IF(D11="","-",+C27+1)</f>
        <v>2021</v>
      </c>
      <c r="D28" s="505">
        <v>573364.52140741248</v>
      </c>
      <c r="E28" s="498">
        <v>23348.967741935485</v>
      </c>
      <c r="F28" s="505">
        <v>550015.55366547697</v>
      </c>
      <c r="G28" s="498">
        <v>84115.442190341273</v>
      </c>
      <c r="H28" s="499">
        <v>84115.442190341273</v>
      </c>
      <c r="I28" s="500">
        <f t="shared" si="0"/>
        <v>0</v>
      </c>
      <c r="J28" s="500"/>
      <c r="K28" s="506">
        <f t="shared" si="8"/>
        <v>84115.442190341273</v>
      </c>
      <c r="L28" s="504">
        <f t="shared" ref="L28" si="12">IF(K28&lt;&gt;0,+G28-K28,0)</f>
        <v>0</v>
      </c>
      <c r="M28" s="506">
        <f t="shared" si="9"/>
        <v>84115.442190341273</v>
      </c>
      <c r="N28" s="504">
        <f>IF(M28&lt;&gt;0,+H28-M28,0)</f>
        <v>0</v>
      </c>
      <c r="O28" s="504">
        <f>+N28-L28</f>
        <v>0</v>
      </c>
      <c r="P28" s="278"/>
      <c r="R28" s="243"/>
      <c r="S28" s="243"/>
      <c r="T28" s="243"/>
      <c r="U28" s="243"/>
    </row>
    <row r="29" spans="2:21">
      <c r="B29" s="145" t="str">
        <f t="shared" si="6"/>
        <v/>
      </c>
      <c r="C29" s="495">
        <f>IF(D11="","-",+C28+1)</f>
        <v>2022</v>
      </c>
      <c r="D29" s="508">
        <f>IF(F28+SUM(E$17:E28)=D$10,F28,D$10-SUM(E$17:E28))</f>
        <v>550015.55366547697</v>
      </c>
      <c r="E29" s="509">
        <f>IF(+I14&lt;F28,I14,D29)</f>
        <v>21933.878787878788</v>
      </c>
      <c r="F29" s="510">
        <f t="shared" ref="F29:F49" si="13">+D29-E29</f>
        <v>528081.67487759818</v>
      </c>
      <c r="G29" s="511">
        <f t="shared" ref="G29:G73" si="14">(D29+F29)/2*I$12+E29</f>
        <v>83794.43683291944</v>
      </c>
      <c r="H29" s="477">
        <f t="shared" ref="H29:H73" si="15">+(D29+F29)/2*I$13+E29</f>
        <v>83794.43683291944</v>
      </c>
      <c r="I29" s="500">
        <f t="shared" si="0"/>
        <v>0</v>
      </c>
      <c r="J29" s="500"/>
      <c r="K29" s="512"/>
      <c r="L29" s="504">
        <f t="shared" si="2"/>
        <v>0</v>
      </c>
      <c r="M29" s="512"/>
      <c r="N29" s="504">
        <f t="shared" si="4"/>
        <v>0</v>
      </c>
      <c r="O29" s="504">
        <f t="shared" si="5"/>
        <v>0</v>
      </c>
      <c r="P29" s="278"/>
      <c r="R29" s="243"/>
      <c r="S29" s="243"/>
      <c r="T29" s="243"/>
      <c r="U29" s="243"/>
    </row>
    <row r="30" spans="2:21">
      <c r="B30" s="145" t="str">
        <f t="shared" si="6"/>
        <v/>
      </c>
      <c r="C30" s="495">
        <f>IF(D11="","-",+C29+1)</f>
        <v>2023</v>
      </c>
      <c r="D30" s="508">
        <f>IF(F29+SUM(E$17:E29)=D$10,F29,D$10-SUM(E$17:E29))</f>
        <v>528081.67487759818</v>
      </c>
      <c r="E30" s="509">
        <f>IF(+I14&lt;F29,I14,D30)</f>
        <v>21933.878787878788</v>
      </c>
      <c r="F30" s="510">
        <f t="shared" si="13"/>
        <v>506147.7960897194</v>
      </c>
      <c r="G30" s="511">
        <f t="shared" si="14"/>
        <v>81277.331796402315</v>
      </c>
      <c r="H30" s="477">
        <f t="shared" si="15"/>
        <v>81277.331796402315</v>
      </c>
      <c r="I30" s="500">
        <f t="shared" si="0"/>
        <v>0</v>
      </c>
      <c r="J30" s="500"/>
      <c r="K30" s="512"/>
      <c r="L30" s="504">
        <f t="shared" si="2"/>
        <v>0</v>
      </c>
      <c r="M30" s="512"/>
      <c r="N30" s="504">
        <f t="shared" si="4"/>
        <v>0</v>
      </c>
      <c r="O30" s="504">
        <f t="shared" si="5"/>
        <v>0</v>
      </c>
      <c r="P30" s="278"/>
      <c r="R30" s="243"/>
      <c r="S30" s="243"/>
      <c r="T30" s="243"/>
      <c r="U30" s="243"/>
    </row>
    <row r="31" spans="2:21">
      <c r="B31" s="145" t="str">
        <f t="shared" si="6"/>
        <v/>
      </c>
      <c r="C31" s="495">
        <f>IF(D11="","-",+C30+1)</f>
        <v>2024</v>
      </c>
      <c r="D31" s="508">
        <f>IF(F30+SUM(E$17:E30)=D$10,F30,D$10-SUM(E$17:E30))</f>
        <v>506147.7960897194</v>
      </c>
      <c r="E31" s="509">
        <f>IF(+I14&lt;F30,I14,D31)</f>
        <v>21933.878787878788</v>
      </c>
      <c r="F31" s="510">
        <f t="shared" si="13"/>
        <v>484213.91730184061</v>
      </c>
      <c r="G31" s="511">
        <f t="shared" si="14"/>
        <v>78760.22675988519</v>
      </c>
      <c r="H31" s="477">
        <f t="shared" si="15"/>
        <v>78760.22675988519</v>
      </c>
      <c r="I31" s="500">
        <f t="shared" si="0"/>
        <v>0</v>
      </c>
      <c r="J31" s="500"/>
      <c r="K31" s="512"/>
      <c r="L31" s="504">
        <f t="shared" si="2"/>
        <v>0</v>
      </c>
      <c r="M31" s="512"/>
      <c r="N31" s="504">
        <f t="shared" si="4"/>
        <v>0</v>
      </c>
      <c r="O31" s="504">
        <f t="shared" si="5"/>
        <v>0</v>
      </c>
      <c r="P31" s="278"/>
      <c r="Q31" s="220"/>
      <c r="R31" s="278"/>
      <c r="S31" s="278"/>
      <c r="T31" s="278"/>
      <c r="U31" s="243"/>
    </row>
    <row r="32" spans="2:21">
      <c r="C32" s="495">
        <f>IF(D12="","-",+C31+1)</f>
        <v>2025</v>
      </c>
      <c r="D32" s="508">
        <f>IF(F31+SUM(E$17:E31)=D$10,F31,D$10-SUM(E$17:E31))</f>
        <v>484213.91730184061</v>
      </c>
      <c r="E32" s="509">
        <f>IF(+I14&lt;F31,I14,D32)</f>
        <v>21933.878787878788</v>
      </c>
      <c r="F32" s="510">
        <f>+D32-E32</f>
        <v>462280.03851396183</v>
      </c>
      <c r="G32" s="511">
        <f t="shared" si="14"/>
        <v>76243.12172336808</v>
      </c>
      <c r="H32" s="477">
        <f t="shared" si="15"/>
        <v>76243.12172336808</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IF(D33=F31,"","IU")</f>
        <v/>
      </c>
      <c r="C33" s="495">
        <f>IF(D13="","-",+C32+1)</f>
        <v>2026</v>
      </c>
      <c r="D33" s="508">
        <f>IF(F31+SUM(E$17:E31)=D$10,F31,D$10-SUM(E$17:E31))</f>
        <v>484213.91730184061</v>
      </c>
      <c r="E33" s="509">
        <f>IF(+I14&lt;F31,I14,D33)</f>
        <v>21933.878787878788</v>
      </c>
      <c r="F33" s="510">
        <f t="shared" si="13"/>
        <v>462280.03851396183</v>
      </c>
      <c r="G33" s="511">
        <f t="shared" si="14"/>
        <v>76243.12172336808</v>
      </c>
      <c r="H33" s="477">
        <f t="shared" si="15"/>
        <v>76243.12172336808</v>
      </c>
      <c r="I33" s="500">
        <f t="shared" si="0"/>
        <v>0</v>
      </c>
      <c r="J33" s="500"/>
      <c r="K33" s="512"/>
      <c r="L33" s="504">
        <f t="shared" si="2"/>
        <v>0</v>
      </c>
      <c r="M33" s="512"/>
      <c r="N33" s="504">
        <f t="shared" si="4"/>
        <v>0</v>
      </c>
      <c r="O33" s="504">
        <f t="shared" si="5"/>
        <v>0</v>
      </c>
      <c r="P33" s="278"/>
      <c r="R33" s="243"/>
      <c r="S33" s="243"/>
      <c r="T33" s="243"/>
      <c r="U33" s="243"/>
    </row>
    <row r="34" spans="2:21">
      <c r="B34" s="145" t="str">
        <f>IF(D34=F33,"","IU")</f>
        <v>IU</v>
      </c>
      <c r="C34" s="513">
        <f>IF(D11="","-",+C33+1)</f>
        <v>2027</v>
      </c>
      <c r="D34" s="514">
        <f>IF(F33+SUM(E$17:E33)=D$10,F33,D$10-SUM(E$17:E33))</f>
        <v>440346.15972608305</v>
      </c>
      <c r="E34" s="515">
        <f>IF(+I14&lt;F33,I14,D34)</f>
        <v>21933.878787878788</v>
      </c>
      <c r="F34" s="516">
        <f t="shared" si="13"/>
        <v>418412.28093820426</v>
      </c>
      <c r="G34" s="517">
        <f t="shared" si="14"/>
        <v>71208.91165033383</v>
      </c>
      <c r="H34" s="518">
        <f t="shared" si="15"/>
        <v>71208.91165033383</v>
      </c>
      <c r="I34" s="519">
        <f t="shared" si="0"/>
        <v>0</v>
      </c>
      <c r="J34" s="519"/>
      <c r="K34" s="520"/>
      <c r="L34" s="521">
        <f t="shared" si="2"/>
        <v>0</v>
      </c>
      <c r="M34" s="520"/>
      <c r="N34" s="521">
        <f t="shared" si="4"/>
        <v>0</v>
      </c>
      <c r="O34" s="521">
        <f t="shared" si="5"/>
        <v>0</v>
      </c>
      <c r="P34" s="522"/>
      <c r="Q34" s="216"/>
      <c r="R34" s="522"/>
      <c r="S34" s="522"/>
      <c r="T34" s="522"/>
      <c r="U34" s="243"/>
    </row>
    <row r="35" spans="2:21">
      <c r="B35" s="145" t="str">
        <f t="shared" si="6"/>
        <v/>
      </c>
      <c r="C35" s="495">
        <f>IF(D11="","-",+C34+1)</f>
        <v>2028</v>
      </c>
      <c r="D35" s="508">
        <f>IF(F34+SUM(E$17:E34)=D$10,F34,D$10-SUM(E$17:E34))</f>
        <v>418412.28093820426</v>
      </c>
      <c r="E35" s="509">
        <f>IF(+I14&lt;F34,I14,D35)</f>
        <v>21933.878787878788</v>
      </c>
      <c r="F35" s="510">
        <f t="shared" si="13"/>
        <v>396478.40215032548</v>
      </c>
      <c r="G35" s="511">
        <f t="shared" si="14"/>
        <v>68691.80661381672</v>
      </c>
      <c r="H35" s="477">
        <f t="shared" si="15"/>
        <v>68691.80661381672</v>
      </c>
      <c r="I35" s="500">
        <f t="shared" si="0"/>
        <v>0</v>
      </c>
      <c r="J35" s="500"/>
      <c r="K35" s="512"/>
      <c r="L35" s="504">
        <f t="shared" si="2"/>
        <v>0</v>
      </c>
      <c r="M35" s="512"/>
      <c r="N35" s="504">
        <f t="shared" si="4"/>
        <v>0</v>
      </c>
      <c r="O35" s="504">
        <f t="shared" si="5"/>
        <v>0</v>
      </c>
      <c r="P35" s="278"/>
      <c r="R35" s="243"/>
      <c r="S35" s="243"/>
      <c r="T35" s="243"/>
      <c r="U35" s="243"/>
    </row>
    <row r="36" spans="2:21">
      <c r="B36" s="145" t="str">
        <f t="shared" si="6"/>
        <v/>
      </c>
      <c r="C36" s="495">
        <f>IF(D11="","-",+C35+1)</f>
        <v>2029</v>
      </c>
      <c r="D36" s="508">
        <f>IF(F35+SUM(E$17:E35)=D$10,F35,D$10-SUM(E$17:E35))</f>
        <v>396478.40215032548</v>
      </c>
      <c r="E36" s="509">
        <f>IF(+I14&lt;F35,I14,D36)</f>
        <v>21933.878787878788</v>
      </c>
      <c r="F36" s="510">
        <f t="shared" si="13"/>
        <v>374544.52336244669</v>
      </c>
      <c r="G36" s="511">
        <f t="shared" si="14"/>
        <v>66174.701577299595</v>
      </c>
      <c r="H36" s="477">
        <f t="shared" si="15"/>
        <v>66174.701577299595</v>
      </c>
      <c r="I36" s="500">
        <f t="shared" si="0"/>
        <v>0</v>
      </c>
      <c r="J36" s="500"/>
      <c r="K36" s="512"/>
      <c r="L36" s="504">
        <f t="shared" si="2"/>
        <v>0</v>
      </c>
      <c r="M36" s="512"/>
      <c r="N36" s="504">
        <f t="shared" si="4"/>
        <v>0</v>
      </c>
      <c r="O36" s="504">
        <f t="shared" si="5"/>
        <v>0</v>
      </c>
      <c r="P36" s="278"/>
      <c r="R36" s="243"/>
      <c r="S36" s="243"/>
      <c r="T36" s="243"/>
      <c r="U36" s="243"/>
    </row>
    <row r="37" spans="2:21">
      <c r="B37" s="145" t="str">
        <f t="shared" si="6"/>
        <v/>
      </c>
      <c r="C37" s="495">
        <f>IF(D11="","-",+C36+1)</f>
        <v>2030</v>
      </c>
      <c r="D37" s="508">
        <f>IF(F36+SUM(E$17:E36)=D$10,F36,D$10-SUM(E$17:E36))</f>
        <v>374544.52336244669</v>
      </c>
      <c r="E37" s="509">
        <f>IF(+I14&lt;F36,I14,D37)</f>
        <v>21933.878787878788</v>
      </c>
      <c r="F37" s="510">
        <f t="shared" si="13"/>
        <v>352610.64457456791</v>
      </c>
      <c r="G37" s="511">
        <f t="shared" si="14"/>
        <v>63657.596540782484</v>
      </c>
      <c r="H37" s="477">
        <f t="shared" si="15"/>
        <v>63657.596540782484</v>
      </c>
      <c r="I37" s="500">
        <f t="shared" si="0"/>
        <v>0</v>
      </c>
      <c r="J37" s="500"/>
      <c r="K37" s="512"/>
      <c r="L37" s="504">
        <f t="shared" si="2"/>
        <v>0</v>
      </c>
      <c r="M37" s="512"/>
      <c r="N37" s="504">
        <f t="shared" si="4"/>
        <v>0</v>
      </c>
      <c r="O37" s="504">
        <f t="shared" si="5"/>
        <v>0</v>
      </c>
      <c r="P37" s="278"/>
      <c r="R37" s="243"/>
      <c r="S37" s="243"/>
      <c r="T37" s="243"/>
      <c r="U37" s="243"/>
    </row>
    <row r="38" spans="2:21">
      <c r="B38" s="145" t="str">
        <f t="shared" si="6"/>
        <v/>
      </c>
      <c r="C38" s="495">
        <f>IF(D11="","-",+C37+1)</f>
        <v>2031</v>
      </c>
      <c r="D38" s="508">
        <f>IF(F37+SUM(E$17:E37)=D$10,F37,D$10-SUM(E$17:E37))</f>
        <v>352610.64457456791</v>
      </c>
      <c r="E38" s="509">
        <f>IF(+I14&lt;F37,I14,D38)</f>
        <v>21933.878787878788</v>
      </c>
      <c r="F38" s="510">
        <f t="shared" si="13"/>
        <v>330676.76578668912</v>
      </c>
      <c r="G38" s="511">
        <f t="shared" si="14"/>
        <v>61140.491504265359</v>
      </c>
      <c r="H38" s="477">
        <f t="shared" si="15"/>
        <v>61140.491504265359</v>
      </c>
      <c r="I38" s="500">
        <f t="shared" si="0"/>
        <v>0</v>
      </c>
      <c r="J38" s="500"/>
      <c r="K38" s="512"/>
      <c r="L38" s="504">
        <f t="shared" si="2"/>
        <v>0</v>
      </c>
      <c r="M38" s="512"/>
      <c r="N38" s="504">
        <f t="shared" si="4"/>
        <v>0</v>
      </c>
      <c r="O38" s="504">
        <f t="shared" si="5"/>
        <v>0</v>
      </c>
      <c r="P38" s="278"/>
      <c r="R38" s="243"/>
      <c r="S38" s="243"/>
      <c r="T38" s="243"/>
      <c r="U38" s="243"/>
    </row>
    <row r="39" spans="2:21">
      <c r="B39" s="145" t="str">
        <f t="shared" si="6"/>
        <v/>
      </c>
      <c r="C39" s="495">
        <f>IF(D11="","-",+C38+1)</f>
        <v>2032</v>
      </c>
      <c r="D39" s="508">
        <f>IF(F38+SUM(E$17:E38)=D$10,F38,D$10-SUM(E$17:E38))</f>
        <v>330676.76578668912</v>
      </c>
      <c r="E39" s="509">
        <f>IF(+I14&lt;F38,I14,D39)</f>
        <v>21933.878787878788</v>
      </c>
      <c r="F39" s="510">
        <f t="shared" si="13"/>
        <v>308742.88699881034</v>
      </c>
      <c r="G39" s="511">
        <f t="shared" si="14"/>
        <v>58623.386467748234</v>
      </c>
      <c r="H39" s="477">
        <f t="shared" si="15"/>
        <v>58623.386467748234</v>
      </c>
      <c r="I39" s="500">
        <f t="shared" si="0"/>
        <v>0</v>
      </c>
      <c r="J39" s="500"/>
      <c r="K39" s="512"/>
      <c r="L39" s="504">
        <f t="shared" si="2"/>
        <v>0</v>
      </c>
      <c r="M39" s="512"/>
      <c r="N39" s="504">
        <f t="shared" si="4"/>
        <v>0</v>
      </c>
      <c r="O39" s="504">
        <f t="shared" si="5"/>
        <v>0</v>
      </c>
      <c r="P39" s="278"/>
      <c r="R39" s="243"/>
      <c r="S39" s="243"/>
      <c r="T39" s="243"/>
      <c r="U39" s="243"/>
    </row>
    <row r="40" spans="2:21">
      <c r="B40" s="145" t="str">
        <f t="shared" si="6"/>
        <v/>
      </c>
      <c r="C40" s="495">
        <f>IF(D11="","-",+C39+1)</f>
        <v>2033</v>
      </c>
      <c r="D40" s="508">
        <f>IF(F39+SUM(E$17:E39)=D$10,F39,D$10-SUM(E$17:E39))</f>
        <v>308742.88699881034</v>
      </c>
      <c r="E40" s="509">
        <f>IF(+I14&lt;F39,I14,D40)</f>
        <v>21933.878787878788</v>
      </c>
      <c r="F40" s="510">
        <f t="shared" si="13"/>
        <v>286809.00821093156</v>
      </c>
      <c r="G40" s="511">
        <f t="shared" si="14"/>
        <v>56106.281431231124</v>
      </c>
      <c r="H40" s="477">
        <f t="shared" si="15"/>
        <v>56106.281431231124</v>
      </c>
      <c r="I40" s="500">
        <f t="shared" si="0"/>
        <v>0</v>
      </c>
      <c r="J40" s="500"/>
      <c r="K40" s="512"/>
      <c r="L40" s="504">
        <f t="shared" si="2"/>
        <v>0</v>
      </c>
      <c r="M40" s="512"/>
      <c r="N40" s="504">
        <f t="shared" si="4"/>
        <v>0</v>
      </c>
      <c r="O40" s="504">
        <f t="shared" si="5"/>
        <v>0</v>
      </c>
      <c r="P40" s="278"/>
      <c r="R40" s="243"/>
      <c r="S40" s="243"/>
      <c r="T40" s="243"/>
      <c r="U40" s="243"/>
    </row>
    <row r="41" spans="2:21">
      <c r="B41" s="145" t="str">
        <f t="shared" si="6"/>
        <v/>
      </c>
      <c r="C41" s="495">
        <f>IF(D12="","-",+C40+1)</f>
        <v>2034</v>
      </c>
      <c r="D41" s="508">
        <f>IF(F40+SUM(E$17:E40)=D$10,F40,D$10-SUM(E$17:E40))</f>
        <v>286809.00821093156</v>
      </c>
      <c r="E41" s="509">
        <f>IF(+I14&lt;F40,I14,D41)</f>
        <v>21933.878787878788</v>
      </c>
      <c r="F41" s="510">
        <f t="shared" si="13"/>
        <v>264875.12942305277</v>
      </c>
      <c r="G41" s="511">
        <f t="shared" si="14"/>
        <v>53589.176394713999</v>
      </c>
      <c r="H41" s="477">
        <f t="shared" si="15"/>
        <v>53589.176394713999</v>
      </c>
      <c r="I41" s="500">
        <f t="shared" si="0"/>
        <v>0</v>
      </c>
      <c r="J41" s="500"/>
      <c r="K41" s="512"/>
      <c r="L41" s="504">
        <f t="shared" si="2"/>
        <v>0</v>
      </c>
      <c r="M41" s="512"/>
      <c r="N41" s="504">
        <f t="shared" si="4"/>
        <v>0</v>
      </c>
      <c r="O41" s="504">
        <f t="shared" si="5"/>
        <v>0</v>
      </c>
      <c r="P41" s="278"/>
      <c r="R41" s="243"/>
      <c r="S41" s="243"/>
      <c r="T41" s="243"/>
      <c r="U41" s="243"/>
    </row>
    <row r="42" spans="2:21">
      <c r="B42" s="145" t="str">
        <f t="shared" si="6"/>
        <v/>
      </c>
      <c r="C42" s="495">
        <f>IF(D13="","-",+C41+1)</f>
        <v>2035</v>
      </c>
      <c r="D42" s="508">
        <f>IF(F41+SUM(E$17:E41)=D$10,F41,D$10-SUM(E$17:E41))</f>
        <v>264875.12942305277</v>
      </c>
      <c r="E42" s="509">
        <f>IF(+I14&lt;F41,I14,D42)</f>
        <v>21933.878787878788</v>
      </c>
      <c r="F42" s="510">
        <f t="shared" si="13"/>
        <v>242941.25063517399</v>
      </c>
      <c r="G42" s="511">
        <f t="shared" si="14"/>
        <v>51072.071358196881</v>
      </c>
      <c r="H42" s="477">
        <f t="shared" si="15"/>
        <v>51072.071358196881</v>
      </c>
      <c r="I42" s="500">
        <f t="shared" si="0"/>
        <v>0</v>
      </c>
      <c r="J42" s="500"/>
      <c r="K42" s="512"/>
      <c r="L42" s="504">
        <f t="shared" si="2"/>
        <v>0</v>
      </c>
      <c r="M42" s="512"/>
      <c r="N42" s="504">
        <f t="shared" si="4"/>
        <v>0</v>
      </c>
      <c r="O42" s="504">
        <f t="shared" si="5"/>
        <v>0</v>
      </c>
      <c r="P42" s="278"/>
      <c r="R42" s="243"/>
      <c r="S42" s="243"/>
      <c r="T42" s="243"/>
      <c r="U42" s="243"/>
    </row>
    <row r="43" spans="2:21">
      <c r="B43" s="145" t="str">
        <f t="shared" si="6"/>
        <v/>
      </c>
      <c r="C43" s="495">
        <f>IF(D11="","-",+C42+1)</f>
        <v>2036</v>
      </c>
      <c r="D43" s="508">
        <f>IF(F42+SUM(E$17:E42)=D$10,F42,D$10-SUM(E$17:E42))</f>
        <v>242941.25063517399</v>
      </c>
      <c r="E43" s="509">
        <f>IF(+I14&lt;F42,I14,D43)</f>
        <v>21933.878787878788</v>
      </c>
      <c r="F43" s="510">
        <f t="shared" si="13"/>
        <v>221007.3718472952</v>
      </c>
      <c r="G43" s="511">
        <f t="shared" si="14"/>
        <v>48554.966321679763</v>
      </c>
      <c r="H43" s="477">
        <f t="shared" si="15"/>
        <v>48554.966321679763</v>
      </c>
      <c r="I43" s="500">
        <f t="shared" si="0"/>
        <v>0</v>
      </c>
      <c r="J43" s="500"/>
      <c r="K43" s="512"/>
      <c r="L43" s="504">
        <f t="shared" si="2"/>
        <v>0</v>
      </c>
      <c r="M43" s="512"/>
      <c r="N43" s="504">
        <f t="shared" si="4"/>
        <v>0</v>
      </c>
      <c r="O43" s="504">
        <f t="shared" si="5"/>
        <v>0</v>
      </c>
      <c r="P43" s="278"/>
      <c r="R43" s="243"/>
      <c r="S43" s="243"/>
      <c r="T43" s="243"/>
      <c r="U43" s="243"/>
    </row>
    <row r="44" spans="2:21">
      <c r="B44" s="145" t="str">
        <f t="shared" si="6"/>
        <v/>
      </c>
      <c r="C44" s="495">
        <f>IF(D11="","-",+C43+1)</f>
        <v>2037</v>
      </c>
      <c r="D44" s="508">
        <f>IF(F43+SUM(E$17:E43)=D$10,F43,D$10-SUM(E$17:E43))</f>
        <v>221007.3718472952</v>
      </c>
      <c r="E44" s="509">
        <f>IF(+I14&lt;F43,I14,D44)</f>
        <v>21933.878787878788</v>
      </c>
      <c r="F44" s="510">
        <f t="shared" si="13"/>
        <v>199073.49305941642</v>
      </c>
      <c r="G44" s="511">
        <f t="shared" si="14"/>
        <v>46037.861285162639</v>
      </c>
      <c r="H44" s="477">
        <f t="shared" si="15"/>
        <v>46037.861285162639</v>
      </c>
      <c r="I44" s="500">
        <f t="shared" si="0"/>
        <v>0</v>
      </c>
      <c r="J44" s="500"/>
      <c r="K44" s="512"/>
      <c r="L44" s="504">
        <f t="shared" si="2"/>
        <v>0</v>
      </c>
      <c r="M44" s="512"/>
      <c r="N44" s="504">
        <f t="shared" si="4"/>
        <v>0</v>
      </c>
      <c r="O44" s="504">
        <f t="shared" si="5"/>
        <v>0</v>
      </c>
      <c r="P44" s="278"/>
      <c r="R44" s="243"/>
      <c r="S44" s="243"/>
      <c r="T44" s="243"/>
      <c r="U44" s="243"/>
    </row>
    <row r="45" spans="2:21">
      <c r="B45" s="145" t="str">
        <f t="shared" si="6"/>
        <v/>
      </c>
      <c r="C45" s="495">
        <f>IF(D11="","-",+C44+1)</f>
        <v>2038</v>
      </c>
      <c r="D45" s="508">
        <f>IF(F44+SUM(E$17:E44)=D$10,F44,D$10-SUM(E$17:E44))</f>
        <v>199073.49305941642</v>
      </c>
      <c r="E45" s="509">
        <f>IF(+I14&lt;F44,I14,D45)</f>
        <v>21933.878787878788</v>
      </c>
      <c r="F45" s="510">
        <f t="shared" si="13"/>
        <v>177139.61427153763</v>
      </c>
      <c r="G45" s="511">
        <f t="shared" si="14"/>
        <v>43520.756248645521</v>
      </c>
      <c r="H45" s="477">
        <f t="shared" si="15"/>
        <v>43520.756248645521</v>
      </c>
      <c r="I45" s="500">
        <f t="shared" si="0"/>
        <v>0</v>
      </c>
      <c r="J45" s="500"/>
      <c r="K45" s="512"/>
      <c r="L45" s="504">
        <f t="shared" si="2"/>
        <v>0</v>
      </c>
      <c r="M45" s="512"/>
      <c r="N45" s="504">
        <f t="shared" si="4"/>
        <v>0</v>
      </c>
      <c r="O45" s="504">
        <f t="shared" si="5"/>
        <v>0</v>
      </c>
      <c r="P45" s="278"/>
      <c r="R45" s="243"/>
      <c r="S45" s="243"/>
      <c r="T45" s="243"/>
      <c r="U45" s="243"/>
    </row>
    <row r="46" spans="2:21">
      <c r="B46" s="145" t="str">
        <f t="shared" si="6"/>
        <v/>
      </c>
      <c r="C46" s="495">
        <f>IF(D11="","-",+C45+1)</f>
        <v>2039</v>
      </c>
      <c r="D46" s="508">
        <f>IF(F45+SUM(E$17:E45)=D$10,F45,D$10-SUM(E$17:E45))</f>
        <v>177139.61427153763</v>
      </c>
      <c r="E46" s="509">
        <f>IF(+I14&lt;F45,I14,D46)</f>
        <v>21933.878787878788</v>
      </c>
      <c r="F46" s="510">
        <f t="shared" si="13"/>
        <v>155205.73548365885</v>
      </c>
      <c r="G46" s="511">
        <f t="shared" si="14"/>
        <v>41003.651212128403</v>
      </c>
      <c r="H46" s="477">
        <f t="shared" si="15"/>
        <v>41003.651212128403</v>
      </c>
      <c r="I46" s="500">
        <f t="shared" si="0"/>
        <v>0</v>
      </c>
      <c r="J46" s="500"/>
      <c r="K46" s="512"/>
      <c r="L46" s="504">
        <f t="shared" si="2"/>
        <v>0</v>
      </c>
      <c r="M46" s="512"/>
      <c r="N46" s="504">
        <f t="shared" si="4"/>
        <v>0</v>
      </c>
      <c r="O46" s="504">
        <f t="shared" si="5"/>
        <v>0</v>
      </c>
      <c r="P46" s="278"/>
      <c r="R46" s="243"/>
      <c r="S46" s="243"/>
      <c r="T46" s="243"/>
      <c r="U46" s="243"/>
    </row>
    <row r="47" spans="2:21">
      <c r="B47" s="145" t="str">
        <f t="shared" si="6"/>
        <v/>
      </c>
      <c r="C47" s="495">
        <f>IF(D11="","-",+C46+1)</f>
        <v>2040</v>
      </c>
      <c r="D47" s="508">
        <f>IF(F46+SUM(E$17:E46)=D$10,F46,D$10-SUM(E$17:E46))</f>
        <v>155205.73548365885</v>
      </c>
      <c r="E47" s="509">
        <f>IF(+I14&lt;F46,I14,D47)</f>
        <v>21933.878787878788</v>
      </c>
      <c r="F47" s="510">
        <f t="shared" si="13"/>
        <v>133271.85669578006</v>
      </c>
      <c r="G47" s="511">
        <f t="shared" si="14"/>
        <v>38486.546175611278</v>
      </c>
      <c r="H47" s="477">
        <f t="shared" si="15"/>
        <v>38486.546175611278</v>
      </c>
      <c r="I47" s="500">
        <f t="shared" si="0"/>
        <v>0</v>
      </c>
      <c r="J47" s="500"/>
      <c r="K47" s="512"/>
      <c r="L47" s="504">
        <f t="shared" si="2"/>
        <v>0</v>
      </c>
      <c r="M47" s="512"/>
      <c r="N47" s="504">
        <f t="shared" si="4"/>
        <v>0</v>
      </c>
      <c r="O47" s="504">
        <f t="shared" si="5"/>
        <v>0</v>
      </c>
      <c r="P47" s="278"/>
      <c r="R47" s="243"/>
      <c r="S47" s="243"/>
      <c r="T47" s="243"/>
      <c r="U47" s="243"/>
    </row>
    <row r="48" spans="2:21">
      <c r="B48" s="145" t="str">
        <f t="shared" si="6"/>
        <v/>
      </c>
      <c r="C48" s="495">
        <f>IF(D11="","-",+C47+1)</f>
        <v>2041</v>
      </c>
      <c r="D48" s="508">
        <f>IF(F47+SUM(E$17:E47)=D$10,F47,D$10-SUM(E$17:E47))</f>
        <v>133271.85669578006</v>
      </c>
      <c r="E48" s="509">
        <f>IF(+I14&lt;F47,I14,D48)</f>
        <v>21933.878787878788</v>
      </c>
      <c r="F48" s="510">
        <f t="shared" si="13"/>
        <v>111337.97790790128</v>
      </c>
      <c r="G48" s="511">
        <f t="shared" si="14"/>
        <v>35969.44113909416</v>
      </c>
      <c r="H48" s="477">
        <f t="shared" si="15"/>
        <v>35969.44113909416</v>
      </c>
      <c r="I48" s="500">
        <f t="shared" si="0"/>
        <v>0</v>
      </c>
      <c r="J48" s="500"/>
      <c r="K48" s="512"/>
      <c r="L48" s="504">
        <f t="shared" si="2"/>
        <v>0</v>
      </c>
      <c r="M48" s="512"/>
      <c r="N48" s="504">
        <f t="shared" si="4"/>
        <v>0</v>
      </c>
      <c r="O48" s="504">
        <f t="shared" si="5"/>
        <v>0</v>
      </c>
      <c r="P48" s="278"/>
      <c r="R48" s="243"/>
      <c r="S48" s="243"/>
      <c r="T48" s="243"/>
      <c r="U48" s="243"/>
    </row>
    <row r="49" spans="2:21">
      <c r="B49" s="145" t="str">
        <f t="shared" si="6"/>
        <v/>
      </c>
      <c r="C49" s="495">
        <f>IF(D11="","-",+C48+1)</f>
        <v>2042</v>
      </c>
      <c r="D49" s="508">
        <f>IF(F48+SUM(E$17:E48)=D$10,F48,D$10-SUM(E$17:E48))</f>
        <v>111337.97790790128</v>
      </c>
      <c r="E49" s="509">
        <f>IF(+I14&lt;F48,I14,D49)</f>
        <v>21933.878787878788</v>
      </c>
      <c r="F49" s="510">
        <f t="shared" si="13"/>
        <v>89404.099120022496</v>
      </c>
      <c r="G49" s="511">
        <f t="shared" si="14"/>
        <v>33452.336102577043</v>
      </c>
      <c r="H49" s="477">
        <f t="shared" si="15"/>
        <v>33452.336102577043</v>
      </c>
      <c r="I49" s="500">
        <f t="shared" si="0"/>
        <v>0</v>
      </c>
      <c r="J49" s="500"/>
      <c r="K49" s="512"/>
      <c r="L49" s="504">
        <f t="shared" si="2"/>
        <v>0</v>
      </c>
      <c r="M49" s="512"/>
      <c r="N49" s="504">
        <f t="shared" si="4"/>
        <v>0</v>
      </c>
      <c r="O49" s="504">
        <f t="shared" si="5"/>
        <v>0</v>
      </c>
      <c r="P49" s="278"/>
      <c r="R49" s="243"/>
      <c r="S49" s="243"/>
      <c r="T49" s="243"/>
      <c r="U49" s="243"/>
    </row>
    <row r="50" spans="2:21">
      <c r="B50" s="145" t="str">
        <f t="shared" si="6"/>
        <v/>
      </c>
      <c r="C50" s="495">
        <f>IF(D11="","-",+C49+1)</f>
        <v>2043</v>
      </c>
      <c r="D50" s="508">
        <f>IF(F49+SUM(E$17:E49)=D$10,F49,D$10-SUM(E$17:E49))</f>
        <v>89404.099120022496</v>
      </c>
      <c r="E50" s="509">
        <f>IF(+I14&lt;F49,I14,D50)</f>
        <v>21933.878787878788</v>
      </c>
      <c r="F50" s="510">
        <f t="shared" ref="F50:F73" si="16">+D50-E50</f>
        <v>67470.220332143712</v>
      </c>
      <c r="G50" s="511">
        <f t="shared" si="14"/>
        <v>30935.231066059925</v>
      </c>
      <c r="H50" s="477">
        <f t="shared" si="15"/>
        <v>30935.231066059925</v>
      </c>
      <c r="I50" s="500">
        <f t="shared" ref="I50:I73" si="17">H50-G50</f>
        <v>0</v>
      </c>
      <c r="J50" s="500"/>
      <c r="K50" s="512"/>
      <c r="L50" s="504">
        <f t="shared" ref="L50:L73" si="18">IF(K50&lt;&gt;0,+G50-K50,0)</f>
        <v>0</v>
      </c>
      <c r="M50" s="512"/>
      <c r="N50" s="504">
        <f t="shared" ref="N50:N73" si="19">IF(M50&lt;&gt;0,+H50-M50,0)</f>
        <v>0</v>
      </c>
      <c r="O50" s="504">
        <f t="shared" ref="O50:O73" si="20">+N50-L50</f>
        <v>0</v>
      </c>
      <c r="P50" s="278"/>
      <c r="R50" s="243"/>
      <c r="S50" s="243"/>
      <c r="T50" s="243"/>
      <c r="U50" s="243"/>
    </row>
    <row r="51" spans="2:21">
      <c r="B51" s="145" t="str">
        <f t="shared" si="6"/>
        <v/>
      </c>
      <c r="C51" s="495">
        <f>IF(D11="","-",+C50+1)</f>
        <v>2044</v>
      </c>
      <c r="D51" s="508">
        <f>IF(F50+SUM(E$17:E50)=D$10,F50,D$10-SUM(E$17:E50))</f>
        <v>67470.220332143712</v>
      </c>
      <c r="E51" s="509">
        <f>IF(+I14&lt;F50,I14,D51)</f>
        <v>21933.878787878788</v>
      </c>
      <c r="F51" s="510">
        <f t="shared" si="16"/>
        <v>45536.341544264928</v>
      </c>
      <c r="G51" s="511">
        <f t="shared" si="14"/>
        <v>28418.126029542804</v>
      </c>
      <c r="H51" s="477">
        <f t="shared" si="15"/>
        <v>28418.126029542804</v>
      </c>
      <c r="I51" s="500">
        <f t="shared" si="17"/>
        <v>0</v>
      </c>
      <c r="J51" s="500"/>
      <c r="K51" s="512"/>
      <c r="L51" s="504">
        <f t="shared" si="18"/>
        <v>0</v>
      </c>
      <c r="M51" s="512"/>
      <c r="N51" s="504">
        <f t="shared" si="19"/>
        <v>0</v>
      </c>
      <c r="O51" s="504">
        <f t="shared" si="20"/>
        <v>0</v>
      </c>
      <c r="P51" s="278"/>
      <c r="R51" s="243"/>
      <c r="S51" s="243"/>
      <c r="T51" s="243"/>
      <c r="U51" s="243"/>
    </row>
    <row r="52" spans="2:21">
      <c r="B52" s="145" t="str">
        <f t="shared" si="6"/>
        <v/>
      </c>
      <c r="C52" s="495">
        <f>IF(D11="","-",+C51+1)</f>
        <v>2045</v>
      </c>
      <c r="D52" s="508">
        <f>IF(F51+SUM(E$17:E51)=D$10,F51,D$10-SUM(E$17:E51))</f>
        <v>45536.341544264928</v>
      </c>
      <c r="E52" s="509">
        <f>IF(+I14&lt;F51,I14,D52)</f>
        <v>21933.878787878788</v>
      </c>
      <c r="F52" s="510">
        <f t="shared" si="16"/>
        <v>23602.46275638614</v>
      </c>
      <c r="G52" s="511">
        <f t="shared" si="14"/>
        <v>25901.020993025682</v>
      </c>
      <c r="H52" s="477">
        <f t="shared" si="15"/>
        <v>25901.020993025682</v>
      </c>
      <c r="I52" s="500">
        <f t="shared" si="17"/>
        <v>0</v>
      </c>
      <c r="J52" s="500"/>
      <c r="K52" s="512"/>
      <c r="L52" s="504">
        <f t="shared" si="18"/>
        <v>0</v>
      </c>
      <c r="M52" s="512"/>
      <c r="N52" s="504">
        <f t="shared" si="19"/>
        <v>0</v>
      </c>
      <c r="O52" s="504">
        <f t="shared" si="20"/>
        <v>0</v>
      </c>
      <c r="P52" s="278"/>
      <c r="R52" s="243"/>
      <c r="S52" s="243"/>
      <c r="T52" s="243"/>
      <c r="U52" s="243"/>
    </row>
    <row r="53" spans="2:21">
      <c r="B53" s="145" t="str">
        <f t="shared" si="6"/>
        <v/>
      </c>
      <c r="C53" s="495">
        <f>IF(D11="","-",+C52+1)</f>
        <v>2046</v>
      </c>
      <c r="D53" s="508">
        <f>IF(F52+SUM(E$17:E52)=D$10,F52,D$10-SUM(E$17:E52))</f>
        <v>23602.46275638614</v>
      </c>
      <c r="E53" s="509">
        <f>IF(+I14&lt;F52,I14,D53)</f>
        <v>21933.878787878788</v>
      </c>
      <c r="F53" s="510">
        <f t="shared" si="16"/>
        <v>1668.5839685073515</v>
      </c>
      <c r="G53" s="511">
        <f t="shared" si="14"/>
        <v>23383.915956508565</v>
      </c>
      <c r="H53" s="477">
        <f t="shared" si="15"/>
        <v>23383.915956508565</v>
      </c>
      <c r="I53" s="500">
        <f t="shared" si="17"/>
        <v>0</v>
      </c>
      <c r="J53" s="500"/>
      <c r="K53" s="512"/>
      <c r="L53" s="504">
        <f t="shared" si="18"/>
        <v>0</v>
      </c>
      <c r="M53" s="512"/>
      <c r="N53" s="504">
        <f t="shared" si="19"/>
        <v>0</v>
      </c>
      <c r="O53" s="504">
        <f t="shared" si="20"/>
        <v>0</v>
      </c>
      <c r="P53" s="278"/>
      <c r="R53" s="243"/>
      <c r="S53" s="243"/>
      <c r="T53" s="243"/>
      <c r="U53" s="243"/>
    </row>
    <row r="54" spans="2:21">
      <c r="B54" s="145" t="str">
        <f t="shared" si="6"/>
        <v/>
      </c>
      <c r="C54" s="495">
        <f>IF(D11="","-",+C53+1)</f>
        <v>2047</v>
      </c>
      <c r="D54" s="508">
        <f>IF(F53+SUM(E$17:E53)=D$10,F53,D$10-SUM(E$17:E53))</f>
        <v>1668.5839685073515</v>
      </c>
      <c r="E54" s="509">
        <f>IF(+I14&lt;F53,I14,D54)</f>
        <v>1668.5839685073515</v>
      </c>
      <c r="F54" s="510">
        <f t="shared" si="16"/>
        <v>0</v>
      </c>
      <c r="G54" s="511">
        <f t="shared" si="14"/>
        <v>1764.3262936929591</v>
      </c>
      <c r="H54" s="477">
        <f t="shared" si="15"/>
        <v>1764.3262936929591</v>
      </c>
      <c r="I54" s="500">
        <f t="shared" si="17"/>
        <v>0</v>
      </c>
      <c r="J54" s="500"/>
      <c r="K54" s="512"/>
      <c r="L54" s="504">
        <f t="shared" si="18"/>
        <v>0</v>
      </c>
      <c r="M54" s="512"/>
      <c r="N54" s="504">
        <f t="shared" si="19"/>
        <v>0</v>
      </c>
      <c r="O54" s="504">
        <f t="shared" si="20"/>
        <v>0</v>
      </c>
      <c r="P54" s="278"/>
      <c r="R54" s="243"/>
      <c r="S54" s="243"/>
      <c r="T54" s="243"/>
      <c r="U54" s="243"/>
    </row>
    <row r="55" spans="2:21">
      <c r="B55" s="145" t="str">
        <f t="shared" si="6"/>
        <v/>
      </c>
      <c r="C55" s="495">
        <f>IF(D11="","-",+C54+1)</f>
        <v>2048</v>
      </c>
      <c r="D55" s="508">
        <f>IF(F54+SUM(E$17:E54)=D$10,F54,D$10-SUM(E$17:E54))</f>
        <v>0</v>
      </c>
      <c r="E55" s="509">
        <f>IF(+I14&lt;F54,I14,D55)</f>
        <v>0</v>
      </c>
      <c r="F55" s="510">
        <f t="shared" si="16"/>
        <v>0</v>
      </c>
      <c r="G55" s="511">
        <f t="shared" si="14"/>
        <v>0</v>
      </c>
      <c r="H55" s="477">
        <f t="shared" si="15"/>
        <v>0</v>
      </c>
      <c r="I55" s="500">
        <f t="shared" si="17"/>
        <v>0</v>
      </c>
      <c r="J55" s="500"/>
      <c r="K55" s="512"/>
      <c r="L55" s="504">
        <f t="shared" si="18"/>
        <v>0</v>
      </c>
      <c r="M55" s="512"/>
      <c r="N55" s="504">
        <f t="shared" si="19"/>
        <v>0</v>
      </c>
      <c r="O55" s="504">
        <f t="shared" si="20"/>
        <v>0</v>
      </c>
      <c r="P55" s="278"/>
      <c r="R55" s="243"/>
      <c r="S55" s="243"/>
      <c r="T55" s="243"/>
      <c r="U55" s="243"/>
    </row>
    <row r="56" spans="2:21">
      <c r="B56" s="145" t="str">
        <f t="shared" si="6"/>
        <v/>
      </c>
      <c r="C56" s="495">
        <f>IF(D11="","-",+C55+1)</f>
        <v>2049</v>
      </c>
      <c r="D56" s="508">
        <f>IF(F55+SUM(E$17:E55)=D$10,F55,D$10-SUM(E$17:E55))</f>
        <v>0</v>
      </c>
      <c r="E56" s="509">
        <f>IF(+I14&lt;F55,I14,D56)</f>
        <v>0</v>
      </c>
      <c r="F56" s="510">
        <f t="shared" si="16"/>
        <v>0</v>
      </c>
      <c r="G56" s="511">
        <f t="shared" si="14"/>
        <v>0</v>
      </c>
      <c r="H56" s="477">
        <f t="shared" si="15"/>
        <v>0</v>
      </c>
      <c r="I56" s="500">
        <f t="shared" si="17"/>
        <v>0</v>
      </c>
      <c r="J56" s="500"/>
      <c r="K56" s="512"/>
      <c r="L56" s="504">
        <f t="shared" si="18"/>
        <v>0</v>
      </c>
      <c r="M56" s="512"/>
      <c r="N56" s="504">
        <f t="shared" si="19"/>
        <v>0</v>
      </c>
      <c r="O56" s="504">
        <f t="shared" si="20"/>
        <v>0</v>
      </c>
      <c r="P56" s="278"/>
      <c r="R56" s="243"/>
      <c r="S56" s="243"/>
      <c r="T56" s="243"/>
      <c r="U56" s="243"/>
    </row>
    <row r="57" spans="2:21">
      <c r="B57" s="145" t="str">
        <f t="shared" si="6"/>
        <v/>
      </c>
      <c r="C57" s="495">
        <f>IF(D11="","-",+C56+1)</f>
        <v>2050</v>
      </c>
      <c r="D57" s="508">
        <f>IF(F56+SUM(E$17:E56)=D$10,F56,D$10-SUM(E$17:E56))</f>
        <v>0</v>
      </c>
      <c r="E57" s="509">
        <f>IF(+I14&lt;F56,I14,D57)</f>
        <v>0</v>
      </c>
      <c r="F57" s="510">
        <f t="shared" si="16"/>
        <v>0</v>
      </c>
      <c r="G57" s="511">
        <f t="shared" si="14"/>
        <v>0</v>
      </c>
      <c r="H57" s="477">
        <f t="shared" si="15"/>
        <v>0</v>
      </c>
      <c r="I57" s="500">
        <f t="shared" si="17"/>
        <v>0</v>
      </c>
      <c r="J57" s="500"/>
      <c r="K57" s="512"/>
      <c r="L57" s="504">
        <f t="shared" si="18"/>
        <v>0</v>
      </c>
      <c r="M57" s="512"/>
      <c r="N57" s="504">
        <f t="shared" si="19"/>
        <v>0</v>
      </c>
      <c r="O57" s="504">
        <f t="shared" si="20"/>
        <v>0</v>
      </c>
      <c r="P57" s="278"/>
      <c r="R57" s="243"/>
      <c r="S57" s="243"/>
      <c r="T57" s="243"/>
      <c r="U57" s="243"/>
    </row>
    <row r="58" spans="2:21">
      <c r="B58" s="145" t="str">
        <f t="shared" si="6"/>
        <v/>
      </c>
      <c r="C58" s="495">
        <f>IF(D11="","-",+C57+1)</f>
        <v>2051</v>
      </c>
      <c r="D58" s="508">
        <f>IF(F57+SUM(E$17:E57)=D$10,F57,D$10-SUM(E$17:E57))</f>
        <v>0</v>
      </c>
      <c r="E58" s="509">
        <f>IF(+I14&lt;F57,I14,D58)</f>
        <v>0</v>
      </c>
      <c r="F58" s="510">
        <f t="shared" si="16"/>
        <v>0</v>
      </c>
      <c r="G58" s="511">
        <f t="shared" si="14"/>
        <v>0</v>
      </c>
      <c r="H58" s="477">
        <f t="shared" si="15"/>
        <v>0</v>
      </c>
      <c r="I58" s="500">
        <f t="shared" si="17"/>
        <v>0</v>
      </c>
      <c r="J58" s="500"/>
      <c r="K58" s="512"/>
      <c r="L58" s="504">
        <f t="shared" si="18"/>
        <v>0</v>
      </c>
      <c r="M58" s="512"/>
      <c r="N58" s="504">
        <f t="shared" si="19"/>
        <v>0</v>
      </c>
      <c r="O58" s="504">
        <f t="shared" si="20"/>
        <v>0</v>
      </c>
      <c r="P58" s="278"/>
      <c r="R58" s="243"/>
      <c r="S58" s="243"/>
      <c r="T58" s="243"/>
      <c r="U58" s="243"/>
    </row>
    <row r="59" spans="2:21">
      <c r="B59" s="145" t="str">
        <f t="shared" si="6"/>
        <v/>
      </c>
      <c r="C59" s="495">
        <f>IF(D11="","-",+C58+1)</f>
        <v>2052</v>
      </c>
      <c r="D59" s="508">
        <f>IF(F58+SUM(E$17:E58)=D$10,F58,D$10-SUM(E$17:E58))</f>
        <v>0</v>
      </c>
      <c r="E59" s="509">
        <f>IF(+I14&lt;F58,I14,D59)</f>
        <v>0</v>
      </c>
      <c r="F59" s="510">
        <f t="shared" si="16"/>
        <v>0</v>
      </c>
      <c r="G59" s="511">
        <f t="shared" si="14"/>
        <v>0</v>
      </c>
      <c r="H59" s="477">
        <f t="shared" si="15"/>
        <v>0</v>
      </c>
      <c r="I59" s="500">
        <f t="shared" si="17"/>
        <v>0</v>
      </c>
      <c r="J59" s="500"/>
      <c r="K59" s="512"/>
      <c r="L59" s="504">
        <f t="shared" si="18"/>
        <v>0</v>
      </c>
      <c r="M59" s="512"/>
      <c r="N59" s="504">
        <f t="shared" si="19"/>
        <v>0</v>
      </c>
      <c r="O59" s="504">
        <f t="shared" si="20"/>
        <v>0</v>
      </c>
      <c r="P59" s="278"/>
      <c r="R59" s="243"/>
      <c r="S59" s="243"/>
      <c r="T59" s="243"/>
      <c r="U59" s="243"/>
    </row>
    <row r="60" spans="2:21">
      <c r="B60" s="145" t="str">
        <f t="shared" si="6"/>
        <v/>
      </c>
      <c r="C60" s="495">
        <f>IF(D11="","-",+C59+1)</f>
        <v>2053</v>
      </c>
      <c r="D60" s="508">
        <f>IF(F59+SUM(E$17:E59)=D$10,F59,D$10-SUM(E$17:E59))</f>
        <v>0</v>
      </c>
      <c r="E60" s="509">
        <f>IF(+I14&lt;F59,I14,D60)</f>
        <v>0</v>
      </c>
      <c r="F60" s="510">
        <f t="shared" si="16"/>
        <v>0</v>
      </c>
      <c r="G60" s="511">
        <f t="shared" si="14"/>
        <v>0</v>
      </c>
      <c r="H60" s="477">
        <f t="shared" si="15"/>
        <v>0</v>
      </c>
      <c r="I60" s="500">
        <f t="shared" si="17"/>
        <v>0</v>
      </c>
      <c r="J60" s="500"/>
      <c r="K60" s="512"/>
      <c r="L60" s="504">
        <f t="shared" si="18"/>
        <v>0</v>
      </c>
      <c r="M60" s="512"/>
      <c r="N60" s="504">
        <f t="shared" si="19"/>
        <v>0</v>
      </c>
      <c r="O60" s="504">
        <f t="shared" si="20"/>
        <v>0</v>
      </c>
      <c r="P60" s="278"/>
      <c r="R60" s="243"/>
      <c r="S60" s="243"/>
      <c r="T60" s="243"/>
      <c r="U60" s="243"/>
    </row>
    <row r="61" spans="2:21">
      <c r="B61" s="145" t="str">
        <f t="shared" si="6"/>
        <v/>
      </c>
      <c r="C61" s="495">
        <f>IF(D11="","-",+C60+1)</f>
        <v>2054</v>
      </c>
      <c r="D61" s="508">
        <f>IF(F60+SUM(E$17:E60)=D$10,F60,D$10-SUM(E$17:E60))</f>
        <v>0</v>
      </c>
      <c r="E61" s="509">
        <f>IF(+I14&lt;F60,I14,D61)</f>
        <v>0</v>
      </c>
      <c r="F61" s="510">
        <f t="shared" si="16"/>
        <v>0</v>
      </c>
      <c r="G61" s="511">
        <f t="shared" si="14"/>
        <v>0</v>
      </c>
      <c r="H61" s="477">
        <f t="shared" si="15"/>
        <v>0</v>
      </c>
      <c r="I61" s="500">
        <f t="shared" si="17"/>
        <v>0</v>
      </c>
      <c r="J61" s="500"/>
      <c r="K61" s="512"/>
      <c r="L61" s="504">
        <f t="shared" si="18"/>
        <v>0</v>
      </c>
      <c r="M61" s="512"/>
      <c r="N61" s="504">
        <f t="shared" si="19"/>
        <v>0</v>
      </c>
      <c r="O61" s="504">
        <f t="shared" si="20"/>
        <v>0</v>
      </c>
      <c r="P61" s="278"/>
      <c r="R61" s="243"/>
      <c r="S61" s="243"/>
      <c r="T61" s="243"/>
      <c r="U61" s="243"/>
    </row>
    <row r="62" spans="2:21">
      <c r="B62" s="145" t="str">
        <f t="shared" si="6"/>
        <v/>
      </c>
      <c r="C62" s="495">
        <f>IF(D11="","-",+C61+1)</f>
        <v>2055</v>
      </c>
      <c r="D62" s="508">
        <f>IF(F61+SUM(E$17:E61)=D$10,F61,D$10-SUM(E$17:E61))</f>
        <v>0</v>
      </c>
      <c r="E62" s="509">
        <f>IF(+I14&lt;F61,I14,D62)</f>
        <v>0</v>
      </c>
      <c r="F62" s="510">
        <f t="shared" si="16"/>
        <v>0</v>
      </c>
      <c r="G62" s="523">
        <f t="shared" si="14"/>
        <v>0</v>
      </c>
      <c r="H62" s="477">
        <f t="shared" si="15"/>
        <v>0</v>
      </c>
      <c r="I62" s="500">
        <f t="shared" si="17"/>
        <v>0</v>
      </c>
      <c r="J62" s="500"/>
      <c r="K62" s="512"/>
      <c r="L62" s="504">
        <f t="shared" si="18"/>
        <v>0</v>
      </c>
      <c r="M62" s="512"/>
      <c r="N62" s="504">
        <f t="shared" si="19"/>
        <v>0</v>
      </c>
      <c r="O62" s="504">
        <f t="shared" si="20"/>
        <v>0</v>
      </c>
      <c r="P62" s="278"/>
      <c r="R62" s="243"/>
      <c r="S62" s="243"/>
      <c r="T62" s="243"/>
      <c r="U62" s="243"/>
    </row>
    <row r="63" spans="2:21">
      <c r="B63" s="145" t="str">
        <f t="shared" si="6"/>
        <v/>
      </c>
      <c r="C63" s="495">
        <f>IF(D11="","-",+C62+1)</f>
        <v>2056</v>
      </c>
      <c r="D63" s="508">
        <f>IF(F62+SUM(E$17:E62)=D$10,F62,D$10-SUM(E$17:E62))</f>
        <v>0</v>
      </c>
      <c r="E63" s="509">
        <f>IF(+I14&lt;F62,I14,D63)</f>
        <v>0</v>
      </c>
      <c r="F63" s="510">
        <f t="shared" si="16"/>
        <v>0</v>
      </c>
      <c r="G63" s="523">
        <f t="shared" si="14"/>
        <v>0</v>
      </c>
      <c r="H63" s="477">
        <f t="shared" si="15"/>
        <v>0</v>
      </c>
      <c r="I63" s="500">
        <f t="shared" si="17"/>
        <v>0</v>
      </c>
      <c r="J63" s="500"/>
      <c r="K63" s="512"/>
      <c r="L63" s="504">
        <f t="shared" si="18"/>
        <v>0</v>
      </c>
      <c r="M63" s="512"/>
      <c r="N63" s="504">
        <f t="shared" si="19"/>
        <v>0</v>
      </c>
      <c r="O63" s="504">
        <f t="shared" si="20"/>
        <v>0</v>
      </c>
      <c r="P63" s="278"/>
      <c r="R63" s="243"/>
      <c r="S63" s="243"/>
      <c r="T63" s="243"/>
      <c r="U63" s="243"/>
    </row>
    <row r="64" spans="2:21">
      <c r="B64" s="145" t="str">
        <f t="shared" si="6"/>
        <v/>
      </c>
      <c r="C64" s="495">
        <f>IF(D11="","-",+C63+1)</f>
        <v>2057</v>
      </c>
      <c r="D64" s="508">
        <f>IF(F63+SUM(E$17:E63)=D$10,F63,D$10-SUM(E$17:E63))</f>
        <v>0</v>
      </c>
      <c r="E64" s="509">
        <f>IF(+I14&lt;F63,I14,D64)</f>
        <v>0</v>
      </c>
      <c r="F64" s="510">
        <f t="shared" si="16"/>
        <v>0</v>
      </c>
      <c r="G64" s="523">
        <f t="shared" si="14"/>
        <v>0</v>
      </c>
      <c r="H64" s="477">
        <f t="shared" si="15"/>
        <v>0</v>
      </c>
      <c r="I64" s="500">
        <f t="shared" si="17"/>
        <v>0</v>
      </c>
      <c r="J64" s="500"/>
      <c r="K64" s="512"/>
      <c r="L64" s="504">
        <f t="shared" si="18"/>
        <v>0</v>
      </c>
      <c r="M64" s="512"/>
      <c r="N64" s="504">
        <f t="shared" si="19"/>
        <v>0</v>
      </c>
      <c r="O64" s="504">
        <f t="shared" si="20"/>
        <v>0</v>
      </c>
      <c r="P64" s="278"/>
      <c r="R64" s="243"/>
      <c r="S64" s="243"/>
      <c r="T64" s="243"/>
      <c r="U64" s="243"/>
    </row>
    <row r="65" spans="1:21">
      <c r="B65" s="145" t="str">
        <f t="shared" si="6"/>
        <v/>
      </c>
      <c r="C65" s="495">
        <f>IF(D11="","-",+C64+1)</f>
        <v>2058</v>
      </c>
      <c r="D65" s="508">
        <f>IF(F64+SUM(E$17:E64)=D$10,F64,D$10-SUM(E$17:E64))</f>
        <v>0</v>
      </c>
      <c r="E65" s="509">
        <f>IF(+I14&lt;F64,I14,D65)</f>
        <v>0</v>
      </c>
      <c r="F65" s="510">
        <f t="shared" si="16"/>
        <v>0</v>
      </c>
      <c r="G65" s="523">
        <f t="shared" si="14"/>
        <v>0</v>
      </c>
      <c r="H65" s="477">
        <f t="shared" si="15"/>
        <v>0</v>
      </c>
      <c r="I65" s="500">
        <f t="shared" si="17"/>
        <v>0</v>
      </c>
      <c r="J65" s="500"/>
      <c r="K65" s="512"/>
      <c r="L65" s="504">
        <f t="shared" si="18"/>
        <v>0</v>
      </c>
      <c r="M65" s="512"/>
      <c r="N65" s="504">
        <f t="shared" si="19"/>
        <v>0</v>
      </c>
      <c r="O65" s="504">
        <f t="shared" si="20"/>
        <v>0</v>
      </c>
      <c r="P65" s="278"/>
      <c r="R65" s="243"/>
      <c r="S65" s="243"/>
      <c r="T65" s="243"/>
      <c r="U65" s="243"/>
    </row>
    <row r="66" spans="1:21">
      <c r="B66" s="145" t="str">
        <f t="shared" si="6"/>
        <v/>
      </c>
      <c r="C66" s="495">
        <f>IF(D11="","-",+C65+1)</f>
        <v>2059</v>
      </c>
      <c r="D66" s="508">
        <f>IF(F65+SUM(E$17:E65)=D$10,F65,D$10-SUM(E$17:E65))</f>
        <v>0</v>
      </c>
      <c r="E66" s="509">
        <f>IF(+I14&lt;F65,I14,D66)</f>
        <v>0</v>
      </c>
      <c r="F66" s="510">
        <f t="shared" si="16"/>
        <v>0</v>
      </c>
      <c r="G66" s="523">
        <f t="shared" si="14"/>
        <v>0</v>
      </c>
      <c r="H66" s="477">
        <f t="shared" si="15"/>
        <v>0</v>
      </c>
      <c r="I66" s="500">
        <f t="shared" si="17"/>
        <v>0</v>
      </c>
      <c r="J66" s="500"/>
      <c r="K66" s="512"/>
      <c r="L66" s="504">
        <f t="shared" si="18"/>
        <v>0</v>
      </c>
      <c r="M66" s="512"/>
      <c r="N66" s="504">
        <f t="shared" si="19"/>
        <v>0</v>
      </c>
      <c r="O66" s="504">
        <f t="shared" si="20"/>
        <v>0</v>
      </c>
      <c r="P66" s="278"/>
      <c r="R66" s="243"/>
      <c r="S66" s="243"/>
      <c r="T66" s="243"/>
      <c r="U66" s="243"/>
    </row>
    <row r="67" spans="1:21">
      <c r="B67" s="145" t="str">
        <f t="shared" si="6"/>
        <v/>
      </c>
      <c r="C67" s="495">
        <f>IF(D11="","-",+C66+1)</f>
        <v>2060</v>
      </c>
      <c r="D67" s="508">
        <f>IF(F66+SUM(E$17:E66)=D$10,F66,D$10-SUM(E$17:E66))</f>
        <v>0</v>
      </c>
      <c r="E67" s="509">
        <f>IF(+I14&lt;F66,I14,D67)</f>
        <v>0</v>
      </c>
      <c r="F67" s="510">
        <f t="shared" si="16"/>
        <v>0</v>
      </c>
      <c r="G67" s="523">
        <f t="shared" si="14"/>
        <v>0</v>
      </c>
      <c r="H67" s="477">
        <f t="shared" si="15"/>
        <v>0</v>
      </c>
      <c r="I67" s="500">
        <f t="shared" si="17"/>
        <v>0</v>
      </c>
      <c r="J67" s="500"/>
      <c r="K67" s="512"/>
      <c r="L67" s="504">
        <f t="shared" si="18"/>
        <v>0</v>
      </c>
      <c r="M67" s="512"/>
      <c r="N67" s="504">
        <f t="shared" si="19"/>
        <v>0</v>
      </c>
      <c r="O67" s="504">
        <f t="shared" si="20"/>
        <v>0</v>
      </c>
      <c r="P67" s="278"/>
      <c r="R67" s="243"/>
      <c r="S67" s="243"/>
      <c r="T67" s="243"/>
      <c r="U67" s="243"/>
    </row>
    <row r="68" spans="1:21">
      <c r="B68" s="145" t="str">
        <f t="shared" si="6"/>
        <v/>
      </c>
      <c r="C68" s="495">
        <f>IF(D11="","-",+C67+1)</f>
        <v>2061</v>
      </c>
      <c r="D68" s="508">
        <f>IF(F67+SUM(E$17:E67)=D$10,F67,D$10-SUM(E$17:E67))</f>
        <v>0</v>
      </c>
      <c r="E68" s="509">
        <f>IF(+I14&lt;F67,I14,D68)</f>
        <v>0</v>
      </c>
      <c r="F68" s="510">
        <f t="shared" si="16"/>
        <v>0</v>
      </c>
      <c r="G68" s="523">
        <f t="shared" si="14"/>
        <v>0</v>
      </c>
      <c r="H68" s="477">
        <f t="shared" si="15"/>
        <v>0</v>
      </c>
      <c r="I68" s="500">
        <f t="shared" si="17"/>
        <v>0</v>
      </c>
      <c r="J68" s="500"/>
      <c r="K68" s="512"/>
      <c r="L68" s="504">
        <f t="shared" si="18"/>
        <v>0</v>
      </c>
      <c r="M68" s="512"/>
      <c r="N68" s="504">
        <f t="shared" si="19"/>
        <v>0</v>
      </c>
      <c r="O68" s="504">
        <f t="shared" si="20"/>
        <v>0</v>
      </c>
      <c r="P68" s="278"/>
      <c r="R68" s="243"/>
      <c r="S68" s="243"/>
      <c r="T68" s="243"/>
      <c r="U68" s="243"/>
    </row>
    <row r="69" spans="1:21">
      <c r="B69" s="145" t="str">
        <f t="shared" si="6"/>
        <v/>
      </c>
      <c r="C69" s="495">
        <f>IF(D11="","-",+C68+1)</f>
        <v>2062</v>
      </c>
      <c r="D69" s="508">
        <f>IF(F68+SUM(E$17:E68)=D$10,F68,D$10-SUM(E$17:E68))</f>
        <v>0</v>
      </c>
      <c r="E69" s="509">
        <f>IF(+I14&lt;F68,I14,D69)</f>
        <v>0</v>
      </c>
      <c r="F69" s="510">
        <f t="shared" si="16"/>
        <v>0</v>
      </c>
      <c r="G69" s="523">
        <f t="shared" si="14"/>
        <v>0</v>
      </c>
      <c r="H69" s="477">
        <f t="shared" si="15"/>
        <v>0</v>
      </c>
      <c r="I69" s="500">
        <f t="shared" si="17"/>
        <v>0</v>
      </c>
      <c r="J69" s="500"/>
      <c r="K69" s="512"/>
      <c r="L69" s="504">
        <f t="shared" si="18"/>
        <v>0</v>
      </c>
      <c r="M69" s="512"/>
      <c r="N69" s="504">
        <f t="shared" si="19"/>
        <v>0</v>
      </c>
      <c r="O69" s="504">
        <f t="shared" si="20"/>
        <v>0</v>
      </c>
      <c r="P69" s="278"/>
      <c r="R69" s="243"/>
      <c r="S69" s="243"/>
      <c r="T69" s="243"/>
      <c r="U69" s="243"/>
    </row>
    <row r="70" spans="1:21">
      <c r="B70" s="145" t="str">
        <f t="shared" si="6"/>
        <v/>
      </c>
      <c r="C70" s="495">
        <f>IF(D11="","-",+C69+1)</f>
        <v>2063</v>
      </c>
      <c r="D70" s="508">
        <f>IF(F69+SUM(E$17:E69)=D$10,F69,D$10-SUM(E$17:E69))</f>
        <v>0</v>
      </c>
      <c r="E70" s="509">
        <f>IF(+I14&lt;F69,I14,D70)</f>
        <v>0</v>
      </c>
      <c r="F70" s="510">
        <f t="shared" si="16"/>
        <v>0</v>
      </c>
      <c r="G70" s="523">
        <f t="shared" si="14"/>
        <v>0</v>
      </c>
      <c r="H70" s="477">
        <f t="shared" si="15"/>
        <v>0</v>
      </c>
      <c r="I70" s="500">
        <f t="shared" si="17"/>
        <v>0</v>
      </c>
      <c r="J70" s="500"/>
      <c r="K70" s="512"/>
      <c r="L70" s="504">
        <f t="shared" si="18"/>
        <v>0</v>
      </c>
      <c r="M70" s="512"/>
      <c r="N70" s="504">
        <f t="shared" si="19"/>
        <v>0</v>
      </c>
      <c r="O70" s="504">
        <f t="shared" si="20"/>
        <v>0</v>
      </c>
      <c r="P70" s="278"/>
      <c r="R70" s="243"/>
      <c r="S70" s="243"/>
      <c r="T70" s="243"/>
      <c r="U70" s="243"/>
    </row>
    <row r="71" spans="1:21">
      <c r="B71" s="145" t="str">
        <f t="shared" si="6"/>
        <v/>
      </c>
      <c r="C71" s="495">
        <f>IF(D11="","-",+C70+1)</f>
        <v>2064</v>
      </c>
      <c r="D71" s="508">
        <f>IF(F70+SUM(E$17:E70)=D$10,F70,D$10-SUM(E$17:E70))</f>
        <v>0</v>
      </c>
      <c r="E71" s="509">
        <f>IF(+I14&lt;F70,I14,D71)</f>
        <v>0</v>
      </c>
      <c r="F71" s="510">
        <f t="shared" si="16"/>
        <v>0</v>
      </c>
      <c r="G71" s="523">
        <f t="shared" si="14"/>
        <v>0</v>
      </c>
      <c r="H71" s="477">
        <f t="shared" si="15"/>
        <v>0</v>
      </c>
      <c r="I71" s="500">
        <f t="shared" si="17"/>
        <v>0</v>
      </c>
      <c r="J71" s="500"/>
      <c r="K71" s="512"/>
      <c r="L71" s="504">
        <f t="shared" si="18"/>
        <v>0</v>
      </c>
      <c r="M71" s="512"/>
      <c r="N71" s="504">
        <f t="shared" si="19"/>
        <v>0</v>
      </c>
      <c r="O71" s="504">
        <f t="shared" si="20"/>
        <v>0</v>
      </c>
      <c r="P71" s="278"/>
      <c r="R71" s="243"/>
      <c r="S71" s="243"/>
      <c r="T71" s="243"/>
      <c r="U71" s="243"/>
    </row>
    <row r="72" spans="1:21">
      <c r="B72" s="145" t="str">
        <f t="shared" si="6"/>
        <v/>
      </c>
      <c r="C72" s="495">
        <f>IF(D11="","-",+C71+1)</f>
        <v>2065</v>
      </c>
      <c r="D72" s="508">
        <f>IF(F71+SUM(E$17:E71)=D$10,F71,D$10-SUM(E$17:E71))</f>
        <v>0</v>
      </c>
      <c r="E72" s="509">
        <f>IF(+I14&lt;F71,I14,D72)</f>
        <v>0</v>
      </c>
      <c r="F72" s="510">
        <f t="shared" si="16"/>
        <v>0</v>
      </c>
      <c r="G72" s="523">
        <f t="shared" si="14"/>
        <v>0</v>
      </c>
      <c r="H72" s="477">
        <f t="shared" si="15"/>
        <v>0</v>
      </c>
      <c r="I72" s="500">
        <f t="shared" si="17"/>
        <v>0</v>
      </c>
      <c r="J72" s="500"/>
      <c r="K72" s="512"/>
      <c r="L72" s="504">
        <f t="shared" si="18"/>
        <v>0</v>
      </c>
      <c r="M72" s="512"/>
      <c r="N72" s="504">
        <f t="shared" si="19"/>
        <v>0</v>
      </c>
      <c r="O72" s="504">
        <f t="shared" si="20"/>
        <v>0</v>
      </c>
      <c r="P72" s="278"/>
      <c r="R72" s="243"/>
      <c r="S72" s="243"/>
      <c r="T72" s="243"/>
      <c r="U72" s="243"/>
    </row>
    <row r="73" spans="1:21" ht="13.5" thickBot="1">
      <c r="B73" s="145" t="str">
        <f t="shared" si="6"/>
        <v/>
      </c>
      <c r="C73" s="524">
        <f>IF(D11="","-",+C72+1)</f>
        <v>2066</v>
      </c>
      <c r="D73" s="525">
        <f>IF(F72+SUM(E$17:E72)=D$10,F72,D$10-SUM(E$17:E72))</f>
        <v>0</v>
      </c>
      <c r="E73" s="526">
        <f>IF(+I14&lt;F72,I14,D73)</f>
        <v>0</v>
      </c>
      <c r="F73" s="527">
        <f t="shared" si="16"/>
        <v>0</v>
      </c>
      <c r="G73" s="528">
        <f t="shared" si="14"/>
        <v>0</v>
      </c>
      <c r="H73" s="458">
        <f t="shared" si="15"/>
        <v>0</v>
      </c>
      <c r="I73" s="529">
        <f t="shared" si="17"/>
        <v>0</v>
      </c>
      <c r="J73" s="500"/>
      <c r="K73" s="530"/>
      <c r="L73" s="531">
        <f t="shared" si="18"/>
        <v>0</v>
      </c>
      <c r="M73" s="530"/>
      <c r="N73" s="531">
        <f t="shared" si="19"/>
        <v>0</v>
      </c>
      <c r="O73" s="531">
        <f t="shared" si="20"/>
        <v>0</v>
      </c>
      <c r="P73" s="278"/>
      <c r="R73" s="243"/>
      <c r="S73" s="243"/>
      <c r="T73" s="243"/>
      <c r="U73" s="243"/>
    </row>
    <row r="74" spans="1:21">
      <c r="C74" s="349" t="s">
        <v>75</v>
      </c>
      <c r="D74" s="294"/>
      <c r="E74" s="294">
        <f>SUM(E17:E73)</f>
        <v>723818</v>
      </c>
      <c r="F74" s="294"/>
      <c r="G74" s="294">
        <f>SUM(G17:G73)</f>
        <v>2387963.0193008818</v>
      </c>
      <c r="H74" s="294">
        <f>SUM(H17:H73)</f>
        <v>2387963.0193008818</v>
      </c>
      <c r="I74" s="294">
        <f>SUM(I17:I73)</f>
        <v>0</v>
      </c>
      <c r="J74" s="294"/>
      <c r="K74" s="294"/>
      <c r="L74" s="294"/>
      <c r="M74" s="294"/>
      <c r="N74" s="294"/>
      <c r="O74" s="278"/>
      <c r="P74" s="278"/>
      <c r="R74" s="243"/>
      <c r="S74" s="243"/>
      <c r="T74" s="243"/>
      <c r="U74" s="243"/>
    </row>
    <row r="75" spans="1:21">
      <c r="D75" s="292"/>
      <c r="E75" s="243"/>
      <c r="F75" s="243"/>
      <c r="G75" s="243"/>
      <c r="H75" s="325"/>
      <c r="I75" s="325"/>
      <c r="J75" s="294"/>
      <c r="K75" s="325"/>
      <c r="L75" s="325"/>
      <c r="M75" s="325"/>
      <c r="N75" s="325"/>
      <c r="O75" s="243"/>
      <c r="P75" s="243"/>
      <c r="R75" s="243"/>
      <c r="S75" s="243"/>
      <c r="T75" s="243"/>
      <c r="U75" s="243"/>
    </row>
    <row r="76" spans="1:21">
      <c r="C76" s="532" t="s">
        <v>95</v>
      </c>
      <c r="D76" s="292"/>
      <c r="E76" s="243"/>
      <c r="F76" s="243"/>
      <c r="G76" s="243"/>
      <c r="H76" s="325"/>
      <c r="I76" s="325"/>
      <c r="J76" s="294"/>
      <c r="K76" s="325"/>
      <c r="L76" s="325"/>
      <c r="M76" s="325"/>
      <c r="N76" s="325"/>
      <c r="O76" s="243"/>
      <c r="P76" s="243"/>
      <c r="R76" s="243"/>
      <c r="S76" s="243"/>
      <c r="T76" s="243"/>
      <c r="U76" s="243"/>
    </row>
    <row r="77" spans="1:21">
      <c r="C77" s="454" t="s">
        <v>76</v>
      </c>
      <c r="D77" s="292"/>
      <c r="E77" s="243"/>
      <c r="F77" s="243"/>
      <c r="G77" s="243"/>
      <c r="H77" s="325"/>
      <c r="I77" s="325"/>
      <c r="J77" s="294"/>
      <c r="K77" s="325"/>
      <c r="L77" s="325"/>
      <c r="M77" s="325"/>
      <c r="N77" s="325"/>
      <c r="O77" s="278"/>
      <c r="P77" s="278"/>
      <c r="R77" s="243"/>
      <c r="S77" s="243"/>
      <c r="T77" s="243"/>
      <c r="U77" s="243"/>
    </row>
    <row r="78" spans="1:21" ht="18">
      <c r="C78" s="454" t="s">
        <v>77</v>
      </c>
      <c r="D78" s="349"/>
      <c r="E78" s="349"/>
      <c r="F78" s="349"/>
      <c r="G78" s="294"/>
      <c r="H78" s="294"/>
      <c r="I78" s="350"/>
      <c r="J78" s="350"/>
      <c r="K78" s="350"/>
      <c r="L78" s="350"/>
      <c r="M78" s="350"/>
      <c r="N78" s="350"/>
      <c r="O78" s="533"/>
      <c r="P78" s="278"/>
      <c r="R78" s="243"/>
      <c r="S78" s="243"/>
      <c r="T78" s="243"/>
      <c r="U78" s="243"/>
    </row>
    <row r="79" spans="1:21">
      <c r="C79" s="454"/>
      <c r="D79" s="349"/>
      <c r="E79" s="349"/>
      <c r="F79" s="349"/>
      <c r="G79" s="294"/>
      <c r="H79" s="294"/>
      <c r="I79" s="350"/>
      <c r="J79" s="350"/>
      <c r="K79" s="350"/>
      <c r="L79" s="350"/>
      <c r="M79" s="350"/>
      <c r="N79" s="350"/>
      <c r="O79" s="278"/>
      <c r="P79" s="243"/>
      <c r="R79" s="243"/>
      <c r="S79" s="243"/>
      <c r="T79" s="243"/>
      <c r="U79" s="243"/>
    </row>
    <row r="80" spans="1:21" ht="15">
      <c r="A80" s="534"/>
      <c r="B80" s="243"/>
      <c r="C80" s="248"/>
      <c r="D80" s="292"/>
      <c r="E80" s="243"/>
      <c r="F80" s="347"/>
      <c r="G80" s="243"/>
      <c r="H80" s="325"/>
      <c r="I80" s="243"/>
      <c r="J80" s="278"/>
      <c r="K80" s="243"/>
      <c r="L80" s="243"/>
      <c r="M80" s="243"/>
      <c r="N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535"/>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533" t="str">
        <f ca="1">P1</f>
        <v>OKT Project 1 of 23</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2020</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82861.19585201345</v>
      </c>
      <c r="N88" s="544">
        <f>IF(J93&lt;D11,0,VLOOKUP(J93,C17:O73,11))</f>
        <v>82861.19585201345</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86899.348480192144</v>
      </c>
      <c r="N89" s="548">
        <f>IF(J93&lt;D11,0,VLOOKUP(J93,C100:P155,7))</f>
        <v>86899.348480192144</v>
      </c>
      <c r="O89" s="549">
        <f>+N89-M89</f>
        <v>0</v>
      </c>
      <c r="P89" s="243"/>
      <c r="Q89" s="243"/>
      <c r="R89" s="243"/>
      <c r="S89" s="243"/>
      <c r="T89" s="243"/>
      <c r="U89" s="243"/>
    </row>
    <row r="90" spans="1:21" ht="13.5" thickBot="1">
      <c r="C90" s="454" t="s">
        <v>82</v>
      </c>
      <c r="D90" s="550" t="str">
        <f>+D7</f>
        <v>Snyder 138 kV Terminal Addition</v>
      </c>
      <c r="E90" s="243"/>
      <c r="F90" s="243"/>
      <c r="G90" s="243"/>
      <c r="H90" s="243"/>
      <c r="I90" s="325"/>
      <c r="J90" s="325"/>
      <c r="K90" s="551"/>
      <c r="L90" s="552" t="s">
        <v>135</v>
      </c>
      <c r="M90" s="553">
        <f>+M89-M88</f>
        <v>4038.1526281786937</v>
      </c>
      <c r="N90" s="553">
        <f>+N89-N88</f>
        <v>4038.1526281786937</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TP2009013</v>
      </c>
      <c r="E92" s="558"/>
      <c r="F92" s="558"/>
      <c r="G92" s="558"/>
      <c r="H92" s="558"/>
      <c r="I92" s="558"/>
      <c r="J92" s="559"/>
      <c r="K92" s="560"/>
      <c r="P92" s="468"/>
      <c r="Q92" s="243"/>
      <c r="R92" s="243"/>
      <c r="S92" s="243"/>
      <c r="T92" s="243"/>
      <c r="U92" s="243"/>
    </row>
    <row r="93" spans="1:21">
      <c r="C93" s="472" t="s">
        <v>49</v>
      </c>
      <c r="D93" s="470">
        <f>IF(D11=I10,0,D10)</f>
        <v>723818</v>
      </c>
      <c r="E93" s="248" t="s">
        <v>84</v>
      </c>
      <c r="H93" s="408"/>
      <c r="I93" s="408"/>
      <c r="J93" s="471">
        <f>+'OKT.WS.G.BPU.ATRR.True-up'!M16</f>
        <v>2020</v>
      </c>
      <c r="K93" s="467"/>
      <c r="L93" s="294" t="s">
        <v>85</v>
      </c>
      <c r="P93" s="278"/>
      <c r="Q93" s="243"/>
      <c r="R93" s="243"/>
      <c r="S93" s="243"/>
      <c r="T93" s="243"/>
      <c r="U93" s="243"/>
    </row>
    <row r="94" spans="1:21">
      <c r="C94" s="472" t="s">
        <v>52</v>
      </c>
      <c r="D94" s="561">
        <f>D11</f>
        <v>2010</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f>D12</f>
        <v>12</v>
      </c>
      <c r="E95" s="472" t="s">
        <v>55</v>
      </c>
      <c r="F95" s="408"/>
      <c r="G95" s="408"/>
      <c r="J95" s="476">
        <f>'OKT.WS.G.BPU.ATRR.True-up'!$F$81</f>
        <v>0.11475877389767174</v>
      </c>
      <c r="K95" s="413"/>
      <c r="L95" s="145" t="s">
        <v>86</v>
      </c>
      <c r="P95" s="278"/>
      <c r="Q95" s="243"/>
      <c r="R95" s="243"/>
      <c r="S95" s="243"/>
      <c r="T95" s="243"/>
      <c r="U95" s="243"/>
    </row>
    <row r="96" spans="1:21">
      <c r="C96" s="472" t="s">
        <v>57</v>
      </c>
      <c r="D96" s="474">
        <f>'OKT.WS.G.BPU.ATRR.True-up'!F$93</f>
        <v>21</v>
      </c>
      <c r="E96" s="472" t="s">
        <v>58</v>
      </c>
      <c r="F96" s="408"/>
      <c r="G96" s="408"/>
      <c r="J96" s="476">
        <f>IF(H88="",J95,'OKT.WS.G.BPU.ATRR.True-up'!$F$80)</f>
        <v>0.11475877389767174</v>
      </c>
      <c r="K96" s="291"/>
      <c r="L96" s="294" t="s">
        <v>59</v>
      </c>
      <c r="M96" s="291"/>
      <c r="N96" s="291"/>
      <c r="O96" s="291"/>
      <c r="P96" s="278"/>
      <c r="Q96" s="243"/>
      <c r="R96" s="243"/>
      <c r="S96" s="243"/>
      <c r="T96" s="243"/>
      <c r="U96" s="243"/>
    </row>
    <row r="97" spans="1:21" ht="13.5" thickBot="1">
      <c r="C97" s="472" t="s">
        <v>60</v>
      </c>
      <c r="D97" s="562">
        <f>+D14</f>
        <v>0</v>
      </c>
      <c r="E97" s="563" t="s">
        <v>62</v>
      </c>
      <c r="F97" s="564"/>
      <c r="G97" s="564"/>
      <c r="H97" s="565"/>
      <c r="I97" s="565"/>
      <c r="J97" s="458">
        <f>IF(D93=0,0,D93/D96)</f>
        <v>34467.523809523809</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B100" s="145" t="str">
        <f>IF(D100=F99,"","IU")</f>
        <v>IU</v>
      </c>
      <c r="C100" s="495">
        <f>IF(D94= "","-",D94)</f>
        <v>2010</v>
      </c>
      <c r="D100" s="496">
        <v>0</v>
      </c>
      <c r="E100" s="498">
        <v>0</v>
      </c>
      <c r="F100" s="505">
        <v>634790</v>
      </c>
      <c r="G100" s="571">
        <v>317395</v>
      </c>
      <c r="H100" s="571">
        <v>107896.39563165967</v>
      </c>
      <c r="I100" s="571">
        <v>107896.39563165967</v>
      </c>
      <c r="J100" s="504">
        <f t="shared" ref="J100:J131" si="21">+I100-H100</f>
        <v>0</v>
      </c>
      <c r="K100" s="504"/>
      <c r="L100" s="506">
        <f t="shared" ref="L100:L105" si="22">H100</f>
        <v>107896.39563165967</v>
      </c>
      <c r="M100" s="507">
        <f>IF(L100&lt;&gt;0,+H100-L100,0)</f>
        <v>0</v>
      </c>
      <c r="N100" s="506">
        <f t="shared" ref="N100:N105" si="23">I100</f>
        <v>107896.39563165967</v>
      </c>
      <c r="O100" s="503">
        <f t="shared" ref="O100:O131" si="24">IF(N100&lt;&gt;0,+I100-N100,0)</f>
        <v>0</v>
      </c>
      <c r="P100" s="503">
        <f t="shared" ref="P100:P131" si="25">+O100-M100</f>
        <v>0</v>
      </c>
      <c r="Q100" s="243"/>
      <c r="R100" s="243"/>
      <c r="S100" s="243"/>
      <c r="T100" s="243"/>
      <c r="U100" s="243"/>
    </row>
    <row r="101" spans="1:21">
      <c r="B101" s="145" t="str">
        <f t="shared" ref="B101:B155" si="26">IF(D101=F100,"","IU")</f>
        <v/>
      </c>
      <c r="C101" s="495">
        <f>IF(D94="","-",+C100+1)</f>
        <v>2011</v>
      </c>
      <c r="D101" s="496">
        <v>634790</v>
      </c>
      <c r="E101" s="498">
        <v>12180.958103448274</v>
      </c>
      <c r="F101" s="505">
        <v>622609.04189655173</v>
      </c>
      <c r="G101" s="505">
        <v>628699.52094827592</v>
      </c>
      <c r="H101" s="498">
        <v>58926.291922257748</v>
      </c>
      <c r="I101" s="499">
        <v>58926.291922257748</v>
      </c>
      <c r="J101" s="504">
        <v>0</v>
      </c>
      <c r="K101" s="504"/>
      <c r="L101" s="506">
        <f t="shared" si="22"/>
        <v>58926.291922257748</v>
      </c>
      <c r="M101" s="504">
        <f t="shared" ref="M101:M131" si="27">IF(L101&lt;&gt;0,+H101-L101,0)</f>
        <v>0</v>
      </c>
      <c r="N101" s="506">
        <f t="shared" si="23"/>
        <v>58926.291922257748</v>
      </c>
      <c r="O101" s="504">
        <f t="shared" si="24"/>
        <v>0</v>
      </c>
      <c r="P101" s="504">
        <f t="shared" si="25"/>
        <v>0</v>
      </c>
      <c r="Q101" s="243"/>
      <c r="R101" s="243"/>
      <c r="S101" s="243"/>
      <c r="T101" s="243"/>
      <c r="U101" s="243"/>
    </row>
    <row r="102" spans="1:21">
      <c r="B102" s="145" t="str">
        <f t="shared" si="26"/>
        <v>IU</v>
      </c>
      <c r="C102" s="495">
        <f>IF(D94="","-",+C101+1)</f>
        <v>2012</v>
      </c>
      <c r="D102" s="496">
        <v>711637.04189655173</v>
      </c>
      <c r="E102" s="498">
        <v>12479.620689655172</v>
      </c>
      <c r="F102" s="505">
        <v>699157.42120689654</v>
      </c>
      <c r="G102" s="505">
        <v>705397.23155172414</v>
      </c>
      <c r="H102" s="498">
        <v>83971.238209738236</v>
      </c>
      <c r="I102" s="499">
        <v>83971.238209738236</v>
      </c>
      <c r="J102" s="504">
        <v>0</v>
      </c>
      <c r="K102" s="504"/>
      <c r="L102" s="506">
        <f t="shared" si="22"/>
        <v>83971.238209738236</v>
      </c>
      <c r="M102" s="504">
        <f t="shared" ref="M102:M107" si="28">IF(L102&lt;&gt;0,+H102-L102,0)</f>
        <v>0</v>
      </c>
      <c r="N102" s="506">
        <f t="shared" si="23"/>
        <v>83971.238209738236</v>
      </c>
      <c r="O102" s="504">
        <f>IF(N102&lt;&gt;0,+I102-N102,0)</f>
        <v>0</v>
      </c>
      <c r="P102" s="504">
        <f>+O102-M102</f>
        <v>0</v>
      </c>
      <c r="Q102" s="243"/>
      <c r="R102" s="243"/>
      <c r="S102" s="243"/>
      <c r="T102" s="243"/>
      <c r="U102" s="243"/>
    </row>
    <row r="103" spans="1:21">
      <c r="B103" s="145" t="str">
        <f t="shared" si="26"/>
        <v/>
      </c>
      <c r="C103" s="495">
        <f>IF(D94="","-",+C102+1)</f>
        <v>2013</v>
      </c>
      <c r="D103" s="496">
        <v>699157.42120689654</v>
      </c>
      <c r="E103" s="498">
        <v>12479.620689655172</v>
      </c>
      <c r="F103" s="505">
        <v>686677.80051724135</v>
      </c>
      <c r="G103" s="505">
        <v>692917.61086206895</v>
      </c>
      <c r="H103" s="498">
        <v>91236.605288625666</v>
      </c>
      <c r="I103" s="499">
        <v>91236.605288625666</v>
      </c>
      <c r="J103" s="504">
        <v>0</v>
      </c>
      <c r="K103" s="504"/>
      <c r="L103" s="506">
        <f t="shared" si="22"/>
        <v>91236.605288625666</v>
      </c>
      <c r="M103" s="504">
        <f t="shared" si="28"/>
        <v>0</v>
      </c>
      <c r="N103" s="506">
        <f t="shared" si="23"/>
        <v>91236.605288625666</v>
      </c>
      <c r="O103" s="504">
        <f>IF(N103&lt;&gt;0,+I103-N103,0)</f>
        <v>0</v>
      </c>
      <c r="P103" s="504">
        <f>+O103-M103</f>
        <v>0</v>
      </c>
      <c r="Q103" s="243"/>
      <c r="R103" s="243"/>
      <c r="S103" s="243"/>
      <c r="T103" s="243"/>
      <c r="U103" s="243"/>
    </row>
    <row r="104" spans="1:21">
      <c r="B104" s="145" t="str">
        <f t="shared" si="26"/>
        <v/>
      </c>
      <c r="C104" s="495">
        <f>IF(D94="","-",+C103+1)</f>
        <v>2014</v>
      </c>
      <c r="D104" s="496">
        <v>686677.80051724135</v>
      </c>
      <c r="E104" s="498">
        <v>12479.620689655172</v>
      </c>
      <c r="F104" s="505">
        <v>674198.17982758617</v>
      </c>
      <c r="G104" s="505">
        <v>680437.99017241376</v>
      </c>
      <c r="H104" s="498">
        <v>85656.254524456934</v>
      </c>
      <c r="I104" s="499">
        <v>85656.254524456934</v>
      </c>
      <c r="J104" s="504">
        <v>0</v>
      </c>
      <c r="K104" s="504"/>
      <c r="L104" s="506">
        <f t="shared" si="22"/>
        <v>85656.254524456934</v>
      </c>
      <c r="M104" s="504">
        <f t="shared" si="28"/>
        <v>0</v>
      </c>
      <c r="N104" s="506">
        <f t="shared" si="23"/>
        <v>85656.254524456934</v>
      </c>
      <c r="O104" s="504">
        <f>IF(N104&lt;&gt;0,+I104-N104,0)</f>
        <v>0</v>
      </c>
      <c r="P104" s="504">
        <f>+O104-M104</f>
        <v>0</v>
      </c>
      <c r="Q104" s="243"/>
      <c r="R104" s="243"/>
      <c r="S104" s="243"/>
      <c r="T104" s="243"/>
      <c r="U104" s="243"/>
    </row>
    <row r="105" spans="1:21">
      <c r="B105" s="145" t="str">
        <f t="shared" si="26"/>
        <v/>
      </c>
      <c r="C105" s="495">
        <f>IF(D94="","-",+C104+1)</f>
        <v>2015</v>
      </c>
      <c r="D105" s="496">
        <v>674198.17982758617</v>
      </c>
      <c r="E105" s="498">
        <v>15079.541666666666</v>
      </c>
      <c r="F105" s="505">
        <v>659118.63816091954</v>
      </c>
      <c r="G105" s="505">
        <v>666658.40899425279</v>
      </c>
      <c r="H105" s="498">
        <v>89298.24140660846</v>
      </c>
      <c r="I105" s="499">
        <v>89298.24140660846</v>
      </c>
      <c r="J105" s="504">
        <f t="shared" si="21"/>
        <v>0</v>
      </c>
      <c r="K105" s="504"/>
      <c r="L105" s="506">
        <f t="shared" si="22"/>
        <v>89298.24140660846</v>
      </c>
      <c r="M105" s="504">
        <f t="shared" si="28"/>
        <v>0</v>
      </c>
      <c r="N105" s="506">
        <f t="shared" si="23"/>
        <v>89298.24140660846</v>
      </c>
      <c r="O105" s="504">
        <f t="shared" si="24"/>
        <v>0</v>
      </c>
      <c r="P105" s="504">
        <f t="shared" si="25"/>
        <v>0</v>
      </c>
      <c r="Q105" s="243"/>
      <c r="R105" s="243"/>
      <c r="S105" s="243"/>
      <c r="T105" s="243"/>
      <c r="U105" s="243"/>
    </row>
    <row r="106" spans="1:21">
      <c r="B106" s="145" t="str">
        <f t="shared" si="26"/>
        <v/>
      </c>
      <c r="C106" s="495">
        <f>IF(D94="","-",+C105+1)</f>
        <v>2016</v>
      </c>
      <c r="D106" s="496">
        <v>659118.63816091954</v>
      </c>
      <c r="E106" s="498">
        <v>14192.509803921568</v>
      </c>
      <c r="F106" s="505">
        <v>644926.12835699797</v>
      </c>
      <c r="G106" s="505">
        <v>652022.38325895881</v>
      </c>
      <c r="H106" s="498">
        <v>84851.823004071382</v>
      </c>
      <c r="I106" s="499">
        <v>84851.823004071382</v>
      </c>
      <c r="J106" s="504">
        <f t="shared" si="21"/>
        <v>0</v>
      </c>
      <c r="K106" s="504"/>
      <c r="L106" s="506">
        <f>H106</f>
        <v>84851.823004071382</v>
      </c>
      <c r="M106" s="504">
        <f t="shared" si="28"/>
        <v>0</v>
      </c>
      <c r="N106" s="506">
        <f>I106</f>
        <v>84851.823004071382</v>
      </c>
      <c r="O106" s="504">
        <f>IF(N106&lt;&gt;0,+I106-N106,0)</f>
        <v>0</v>
      </c>
      <c r="P106" s="504">
        <f>+O106-M106</f>
        <v>0</v>
      </c>
      <c r="Q106" s="243"/>
      <c r="R106" s="243"/>
      <c r="S106" s="243"/>
      <c r="T106" s="243"/>
      <c r="U106" s="243"/>
    </row>
    <row r="107" spans="1:21">
      <c r="B107" s="145" t="str">
        <f t="shared" si="26"/>
        <v/>
      </c>
      <c r="C107" s="495">
        <f>IF(D94="","-",+C106+1)</f>
        <v>2017</v>
      </c>
      <c r="D107" s="496">
        <v>644926.12835699797</v>
      </c>
      <c r="E107" s="498">
        <v>18095.45</v>
      </c>
      <c r="F107" s="505">
        <v>626830.67835699802</v>
      </c>
      <c r="G107" s="505">
        <v>635878.40335699799</v>
      </c>
      <c r="H107" s="498">
        <v>92706.791991345061</v>
      </c>
      <c r="I107" s="499">
        <v>92706.791991345061</v>
      </c>
      <c r="J107" s="504">
        <f t="shared" si="21"/>
        <v>0</v>
      </c>
      <c r="K107" s="504"/>
      <c r="L107" s="506">
        <f>H107</f>
        <v>92706.791991345061</v>
      </c>
      <c r="M107" s="504">
        <f t="shared" si="28"/>
        <v>0</v>
      </c>
      <c r="N107" s="506">
        <f>I107</f>
        <v>92706.791991345061</v>
      </c>
      <c r="O107" s="504">
        <f>IF(N107&lt;&gt;0,+I107-N107,0)</f>
        <v>0</v>
      </c>
      <c r="P107" s="504">
        <f>+O107-M107</f>
        <v>0</v>
      </c>
      <c r="Q107" s="243"/>
      <c r="R107" s="243"/>
      <c r="S107" s="243"/>
      <c r="T107" s="243"/>
      <c r="U107" s="243"/>
    </row>
    <row r="108" spans="1:21">
      <c r="B108" s="145" t="str">
        <f t="shared" si="26"/>
        <v/>
      </c>
      <c r="C108" s="495">
        <f>IF(D94="","-",+C107+1)</f>
        <v>2018</v>
      </c>
      <c r="D108" s="496">
        <v>626830.67835699802</v>
      </c>
      <c r="E108" s="498">
        <v>20106.055555555555</v>
      </c>
      <c r="F108" s="505">
        <v>606724.62280144251</v>
      </c>
      <c r="G108" s="505">
        <v>616777.65057922027</v>
      </c>
      <c r="H108" s="498">
        <v>85214.614900276356</v>
      </c>
      <c r="I108" s="499">
        <v>85214.614900276356</v>
      </c>
      <c r="J108" s="504">
        <f t="shared" si="21"/>
        <v>0</v>
      </c>
      <c r="K108" s="504"/>
      <c r="L108" s="506">
        <f>H108</f>
        <v>85214.614900276356</v>
      </c>
      <c r="M108" s="504">
        <f t="shared" ref="M108" si="29">IF(L108&lt;&gt;0,+H108-L108,0)</f>
        <v>0</v>
      </c>
      <c r="N108" s="506">
        <f>I108</f>
        <v>85214.614900276356</v>
      </c>
      <c r="O108" s="504">
        <f>IF(N108&lt;&gt;0,+I108-N108,0)</f>
        <v>0</v>
      </c>
      <c r="P108" s="504">
        <f>+O108-M108</f>
        <v>0</v>
      </c>
      <c r="Q108" s="243"/>
      <c r="R108" s="243"/>
      <c r="S108" s="243"/>
      <c r="T108" s="243"/>
      <c r="U108" s="243"/>
    </row>
    <row r="109" spans="1:21">
      <c r="B109" s="145" t="str">
        <f t="shared" si="26"/>
        <v/>
      </c>
      <c r="C109" s="495">
        <f>IF(D94="","-",+C108+1)</f>
        <v>2019</v>
      </c>
      <c r="D109" s="496">
        <v>606724.62280144251</v>
      </c>
      <c r="E109" s="498">
        <v>20106.055555555555</v>
      </c>
      <c r="F109" s="505">
        <v>586618.56724588701</v>
      </c>
      <c r="G109" s="505">
        <v>596671.59502366476</v>
      </c>
      <c r="H109" s="498">
        <v>83092.170434109707</v>
      </c>
      <c r="I109" s="499">
        <v>83092.170434109707</v>
      </c>
      <c r="J109" s="504">
        <f t="shared" si="21"/>
        <v>0</v>
      </c>
      <c r="K109" s="504"/>
      <c r="L109" s="506">
        <f>H109</f>
        <v>83092.170434109707</v>
      </c>
      <c r="M109" s="504">
        <f t="shared" ref="M109:M110" si="30">IF(L109&lt;&gt;0,+H109-L109,0)</f>
        <v>0</v>
      </c>
      <c r="N109" s="506">
        <f>I109</f>
        <v>83092.170434109707</v>
      </c>
      <c r="O109" s="504">
        <f>IF(N109&lt;&gt;0,+I109-N109,0)</f>
        <v>0</v>
      </c>
      <c r="P109" s="504">
        <f t="shared" si="25"/>
        <v>0</v>
      </c>
      <c r="Q109" s="243"/>
      <c r="R109" s="243"/>
      <c r="S109" s="243"/>
      <c r="T109" s="243"/>
      <c r="U109" s="243"/>
    </row>
    <row r="110" spans="1:21">
      <c r="B110" s="145" t="str">
        <f t="shared" si="26"/>
        <v/>
      </c>
      <c r="C110" s="495">
        <f>IF(D94="","-",+C109+1)</f>
        <v>2020</v>
      </c>
      <c r="D110" s="496">
        <v>586618.56724588701</v>
      </c>
      <c r="E110" s="498">
        <v>25850.642857142859</v>
      </c>
      <c r="F110" s="505">
        <v>560767.92438874417</v>
      </c>
      <c r="G110" s="505">
        <v>573693.24581731553</v>
      </c>
      <c r="H110" s="498">
        <v>86899.348480192144</v>
      </c>
      <c r="I110" s="499">
        <v>86899.348480192144</v>
      </c>
      <c r="J110" s="504">
        <f t="shared" si="21"/>
        <v>0</v>
      </c>
      <c r="K110" s="504"/>
      <c r="L110" s="506">
        <f>H110</f>
        <v>86899.348480192144</v>
      </c>
      <c r="M110" s="504">
        <f t="shared" si="30"/>
        <v>0</v>
      </c>
      <c r="N110" s="506">
        <f>I110</f>
        <v>86899.348480192144</v>
      </c>
      <c r="O110" s="504">
        <f>IF(N110&lt;&gt;0,+I110-N110,0)</f>
        <v>0</v>
      </c>
      <c r="P110" s="504">
        <f t="shared" si="25"/>
        <v>0</v>
      </c>
      <c r="Q110" s="243"/>
      <c r="R110" s="243"/>
      <c r="S110" s="243"/>
      <c r="T110" s="243"/>
      <c r="U110" s="243"/>
    </row>
    <row r="111" spans="1:21">
      <c r="B111" s="145" t="str">
        <f t="shared" si="26"/>
        <v/>
      </c>
      <c r="C111" s="495">
        <f>IF(D94="","-",+C110+1)</f>
        <v>2021</v>
      </c>
      <c r="D111" s="349">
        <f>IF(F110+SUM(E$100:E110)=D$93,F110,D$93-SUM(E$100:E110))</f>
        <v>560767.92438874417</v>
      </c>
      <c r="E111" s="509">
        <f>IF(+J97&lt;F110,J97,D111)</f>
        <v>34467.523809523809</v>
      </c>
      <c r="F111" s="510">
        <f t="shared" ref="F111:F131" si="31">+D111-E111</f>
        <v>526300.40057922038</v>
      </c>
      <c r="G111" s="510">
        <f t="shared" ref="G111:G131" si="32">+(F111+D111)/2</f>
        <v>543534.16248398228</v>
      </c>
      <c r="H111" s="523">
        <f t="shared" ref="H111:H132" si="33">+J$95*G111+E111</f>
        <v>96842.837867683498</v>
      </c>
      <c r="I111" s="572">
        <f t="shared" ref="I111:I132" si="34">+J$96*G111+E111</f>
        <v>96842.837867683498</v>
      </c>
      <c r="J111" s="504">
        <f t="shared" si="21"/>
        <v>0</v>
      </c>
      <c r="K111" s="504"/>
      <c r="L111" s="512"/>
      <c r="M111" s="504">
        <f t="shared" si="27"/>
        <v>0</v>
      </c>
      <c r="N111" s="512"/>
      <c r="O111" s="504">
        <f t="shared" si="24"/>
        <v>0</v>
      </c>
      <c r="P111" s="504">
        <f t="shared" si="25"/>
        <v>0</v>
      </c>
      <c r="Q111" s="243"/>
      <c r="R111" s="243"/>
      <c r="S111" s="243"/>
      <c r="T111" s="243"/>
      <c r="U111" s="243"/>
    </row>
    <row r="112" spans="1:21">
      <c r="B112" s="145" t="str">
        <f t="shared" si="26"/>
        <v/>
      </c>
      <c r="C112" s="495">
        <f>IF(D94="","-",+C111+1)</f>
        <v>2022</v>
      </c>
      <c r="D112" s="349">
        <f>IF(F111+SUM(E$100:E111)=D$93,F111,D$93-SUM(E$100:E111))</f>
        <v>526300.40057922038</v>
      </c>
      <c r="E112" s="509">
        <f>IF(+J97&lt;F111,J97,D112)</f>
        <v>34467.523809523809</v>
      </c>
      <c r="F112" s="510">
        <f t="shared" si="31"/>
        <v>491832.8767696966</v>
      </c>
      <c r="G112" s="510">
        <f t="shared" si="32"/>
        <v>509066.63867445849</v>
      </c>
      <c r="H112" s="523">
        <f t="shared" si="33"/>
        <v>92887.387096013743</v>
      </c>
      <c r="I112" s="572">
        <f t="shared" si="34"/>
        <v>92887.387096013743</v>
      </c>
      <c r="J112" s="504">
        <f t="shared" si="21"/>
        <v>0</v>
      </c>
      <c r="K112" s="504"/>
      <c r="L112" s="512"/>
      <c r="M112" s="504">
        <f t="shared" si="27"/>
        <v>0</v>
      </c>
      <c r="N112" s="512"/>
      <c r="O112" s="504">
        <f t="shared" si="24"/>
        <v>0</v>
      </c>
      <c r="P112" s="504">
        <f t="shared" si="25"/>
        <v>0</v>
      </c>
      <c r="Q112" s="243"/>
      <c r="R112" s="243"/>
      <c r="S112" s="243"/>
      <c r="T112" s="243"/>
      <c r="U112" s="243"/>
    </row>
    <row r="113" spans="2:21">
      <c r="B113" s="145" t="str">
        <f t="shared" si="26"/>
        <v/>
      </c>
      <c r="C113" s="495">
        <f>IF(D94="","-",+C112+1)</f>
        <v>2023</v>
      </c>
      <c r="D113" s="349">
        <f>IF(F112+SUM(E$100:E112)=D$93,F112,D$93-SUM(E$100:E112))</f>
        <v>491832.8767696966</v>
      </c>
      <c r="E113" s="509">
        <f>IF(+J97&lt;F112,J97,D113)</f>
        <v>34467.523809523809</v>
      </c>
      <c r="F113" s="510">
        <f t="shared" si="31"/>
        <v>457365.35296017281</v>
      </c>
      <c r="G113" s="510">
        <f t="shared" si="32"/>
        <v>474599.1148649347</v>
      </c>
      <c r="H113" s="523">
        <f t="shared" si="33"/>
        <v>88931.936324343988</v>
      </c>
      <c r="I113" s="572">
        <f t="shared" si="34"/>
        <v>88931.936324343988</v>
      </c>
      <c r="J113" s="504">
        <f t="shared" si="21"/>
        <v>0</v>
      </c>
      <c r="K113" s="504"/>
      <c r="L113" s="512"/>
      <c r="M113" s="504">
        <f t="shared" si="27"/>
        <v>0</v>
      </c>
      <c r="N113" s="512"/>
      <c r="O113" s="504">
        <f t="shared" si="24"/>
        <v>0</v>
      </c>
      <c r="P113" s="504">
        <f t="shared" si="25"/>
        <v>0</v>
      </c>
      <c r="Q113" s="243"/>
      <c r="R113" s="243"/>
      <c r="S113" s="243"/>
      <c r="T113" s="243"/>
      <c r="U113" s="243"/>
    </row>
    <row r="114" spans="2:21">
      <c r="B114" s="145" t="str">
        <f t="shared" si="26"/>
        <v/>
      </c>
      <c r="C114" s="495">
        <f>IF(D94="","-",+C113+1)</f>
        <v>2024</v>
      </c>
      <c r="D114" s="349">
        <f>IF(F113+SUM(E$100:E113)=D$93,F113,D$93-SUM(E$100:E113))</f>
        <v>457365.35296017281</v>
      </c>
      <c r="E114" s="509">
        <f>IF(+J97&lt;F113,J97,D114)</f>
        <v>34467.523809523809</v>
      </c>
      <c r="F114" s="510">
        <f t="shared" si="31"/>
        <v>422897.82915064902</v>
      </c>
      <c r="G114" s="510">
        <f t="shared" si="32"/>
        <v>440131.59105541091</v>
      </c>
      <c r="H114" s="523">
        <f t="shared" si="33"/>
        <v>84976.485552674232</v>
      </c>
      <c r="I114" s="572">
        <f t="shared" si="34"/>
        <v>84976.485552674232</v>
      </c>
      <c r="J114" s="504">
        <f t="shared" si="21"/>
        <v>0</v>
      </c>
      <c r="K114" s="504"/>
      <c r="L114" s="512"/>
      <c r="M114" s="504">
        <f t="shared" si="27"/>
        <v>0</v>
      </c>
      <c r="N114" s="512"/>
      <c r="O114" s="504">
        <f t="shared" si="24"/>
        <v>0</v>
      </c>
      <c r="P114" s="504">
        <f t="shared" si="25"/>
        <v>0</v>
      </c>
      <c r="Q114" s="243"/>
      <c r="R114" s="243"/>
      <c r="S114" s="243"/>
      <c r="T114" s="243"/>
      <c r="U114" s="243"/>
    </row>
    <row r="115" spans="2:21">
      <c r="B115" s="145" t="str">
        <f t="shared" si="26"/>
        <v/>
      </c>
      <c r="C115" s="495">
        <f>IF(D94="","-",+C114+1)</f>
        <v>2025</v>
      </c>
      <c r="D115" s="349">
        <f>IF(F114+SUM(E$100:E114)=D$93,F114,D$93-SUM(E$100:E114))</f>
        <v>422897.82915064902</v>
      </c>
      <c r="E115" s="509">
        <f>IF(+J97&lt;F114,J97,D115)</f>
        <v>34467.523809523809</v>
      </c>
      <c r="F115" s="510">
        <f t="shared" si="31"/>
        <v>388430.30534112523</v>
      </c>
      <c r="G115" s="510">
        <f t="shared" si="32"/>
        <v>405664.06724588713</v>
      </c>
      <c r="H115" s="523">
        <f t="shared" si="33"/>
        <v>81021.034781004477</v>
      </c>
      <c r="I115" s="572">
        <f t="shared" si="34"/>
        <v>81021.034781004477</v>
      </c>
      <c r="J115" s="504">
        <f t="shared" si="21"/>
        <v>0</v>
      </c>
      <c r="K115" s="504"/>
      <c r="L115" s="512"/>
      <c r="M115" s="504">
        <f t="shared" si="27"/>
        <v>0</v>
      </c>
      <c r="N115" s="512"/>
      <c r="O115" s="504">
        <f t="shared" si="24"/>
        <v>0</v>
      </c>
      <c r="P115" s="504">
        <f t="shared" si="25"/>
        <v>0</v>
      </c>
      <c r="Q115" s="243"/>
      <c r="R115" s="243"/>
      <c r="S115" s="243"/>
      <c r="T115" s="243"/>
      <c r="U115" s="243"/>
    </row>
    <row r="116" spans="2:21">
      <c r="B116" s="145" t="str">
        <f t="shared" si="26"/>
        <v/>
      </c>
      <c r="C116" s="495">
        <f>IF(D94="","-",+C115+1)</f>
        <v>2026</v>
      </c>
      <c r="D116" s="349">
        <f>IF(F115+SUM(E$100:E115)=D$93,F115,D$93-SUM(E$100:E115))</f>
        <v>388430.30534112523</v>
      </c>
      <c r="E116" s="509">
        <f>IF(+J97&lt;F115,J97,D116)</f>
        <v>34467.523809523809</v>
      </c>
      <c r="F116" s="510">
        <f t="shared" si="31"/>
        <v>353962.78153160145</v>
      </c>
      <c r="G116" s="510">
        <f t="shared" si="32"/>
        <v>371196.54343636334</v>
      </c>
      <c r="H116" s="523">
        <f t="shared" si="33"/>
        <v>77065.584009334707</v>
      </c>
      <c r="I116" s="572">
        <f t="shared" si="34"/>
        <v>77065.584009334707</v>
      </c>
      <c r="J116" s="504">
        <f t="shared" si="21"/>
        <v>0</v>
      </c>
      <c r="K116" s="504"/>
      <c r="L116" s="512"/>
      <c r="M116" s="504">
        <f t="shared" si="27"/>
        <v>0</v>
      </c>
      <c r="N116" s="512"/>
      <c r="O116" s="504">
        <f t="shared" si="24"/>
        <v>0</v>
      </c>
      <c r="P116" s="504">
        <f t="shared" si="25"/>
        <v>0</v>
      </c>
      <c r="Q116" s="243"/>
      <c r="R116" s="243"/>
      <c r="S116" s="243"/>
      <c r="T116" s="243"/>
      <c r="U116" s="243"/>
    </row>
    <row r="117" spans="2:21">
      <c r="B117" s="145" t="str">
        <f t="shared" si="26"/>
        <v/>
      </c>
      <c r="C117" s="495">
        <f>IF(D94="","-",+C116+1)</f>
        <v>2027</v>
      </c>
      <c r="D117" s="349">
        <f>IF(F116+SUM(E$100:E116)=D$93,F116,D$93-SUM(E$100:E116))</f>
        <v>353962.78153160145</v>
      </c>
      <c r="E117" s="509">
        <f>IF(+J97&lt;F116,J97,D117)</f>
        <v>34467.523809523809</v>
      </c>
      <c r="F117" s="510">
        <f t="shared" si="31"/>
        <v>319495.25772207766</v>
      </c>
      <c r="G117" s="510">
        <f t="shared" si="32"/>
        <v>336729.01962683955</v>
      </c>
      <c r="H117" s="523">
        <f t="shared" si="33"/>
        <v>73110.133237664966</v>
      </c>
      <c r="I117" s="572">
        <f t="shared" si="34"/>
        <v>73110.133237664966</v>
      </c>
      <c r="J117" s="504">
        <f t="shared" si="21"/>
        <v>0</v>
      </c>
      <c r="K117" s="504"/>
      <c r="L117" s="512"/>
      <c r="M117" s="504">
        <f t="shared" si="27"/>
        <v>0</v>
      </c>
      <c r="N117" s="512"/>
      <c r="O117" s="504">
        <f t="shared" si="24"/>
        <v>0</v>
      </c>
      <c r="P117" s="504">
        <f t="shared" si="25"/>
        <v>0</v>
      </c>
      <c r="Q117" s="243"/>
      <c r="R117" s="243"/>
      <c r="S117" s="243"/>
      <c r="T117" s="243"/>
      <c r="U117" s="243"/>
    </row>
    <row r="118" spans="2:21">
      <c r="B118" s="145" t="str">
        <f t="shared" si="26"/>
        <v/>
      </c>
      <c r="C118" s="495">
        <f>IF(D94="","-",+C117+1)</f>
        <v>2028</v>
      </c>
      <c r="D118" s="349">
        <f>IF(F117+SUM(E$100:E117)=D$93,F117,D$93-SUM(E$100:E117))</f>
        <v>319495.25772207766</v>
      </c>
      <c r="E118" s="509">
        <f>IF(+J97&lt;F117,J97,D118)</f>
        <v>34467.523809523809</v>
      </c>
      <c r="F118" s="510">
        <f t="shared" si="31"/>
        <v>285027.73391255387</v>
      </c>
      <c r="G118" s="510">
        <f t="shared" si="32"/>
        <v>302261.49581731576</v>
      </c>
      <c r="H118" s="523">
        <f t="shared" si="33"/>
        <v>69154.682465995196</v>
      </c>
      <c r="I118" s="572">
        <f t="shared" si="34"/>
        <v>69154.682465995196</v>
      </c>
      <c r="J118" s="504">
        <f t="shared" si="21"/>
        <v>0</v>
      </c>
      <c r="K118" s="504"/>
      <c r="L118" s="512"/>
      <c r="M118" s="504">
        <f t="shared" si="27"/>
        <v>0</v>
      </c>
      <c r="N118" s="512"/>
      <c r="O118" s="504">
        <f t="shared" si="24"/>
        <v>0</v>
      </c>
      <c r="P118" s="504">
        <f t="shared" si="25"/>
        <v>0</v>
      </c>
      <c r="Q118" s="243"/>
      <c r="R118" s="243"/>
      <c r="S118" s="243"/>
      <c r="T118" s="243"/>
      <c r="U118" s="243"/>
    </row>
    <row r="119" spans="2:21">
      <c r="B119" s="145" t="str">
        <f t="shared" si="26"/>
        <v/>
      </c>
      <c r="C119" s="495">
        <f>IF(D94="","-",+C118+1)</f>
        <v>2029</v>
      </c>
      <c r="D119" s="349">
        <f>IF(F118+SUM(E$100:E118)=D$93,F118,D$93-SUM(E$100:E118))</f>
        <v>285027.73391255387</v>
      </c>
      <c r="E119" s="509">
        <f>IF(+J97&lt;F118,J97,D119)</f>
        <v>34467.523809523809</v>
      </c>
      <c r="F119" s="510">
        <f t="shared" si="31"/>
        <v>250560.21010303005</v>
      </c>
      <c r="G119" s="510">
        <f t="shared" si="32"/>
        <v>267793.97200779198</v>
      </c>
      <c r="H119" s="523">
        <f t="shared" si="33"/>
        <v>65199.231694325441</v>
      </c>
      <c r="I119" s="572">
        <f t="shared" si="34"/>
        <v>65199.231694325441</v>
      </c>
      <c r="J119" s="504">
        <f t="shared" si="21"/>
        <v>0</v>
      </c>
      <c r="K119" s="504"/>
      <c r="L119" s="512"/>
      <c r="M119" s="504">
        <f t="shared" si="27"/>
        <v>0</v>
      </c>
      <c r="N119" s="512"/>
      <c r="O119" s="504">
        <f t="shared" si="24"/>
        <v>0</v>
      </c>
      <c r="P119" s="504">
        <f t="shared" si="25"/>
        <v>0</v>
      </c>
      <c r="Q119" s="243"/>
      <c r="R119" s="243"/>
      <c r="S119" s="243"/>
      <c r="T119" s="243"/>
      <c r="U119" s="243"/>
    </row>
    <row r="120" spans="2:21">
      <c r="B120" s="145" t="str">
        <f t="shared" si="26"/>
        <v/>
      </c>
      <c r="C120" s="495">
        <f>IF(D94="","-",+C119+1)</f>
        <v>2030</v>
      </c>
      <c r="D120" s="349">
        <f>IF(F119+SUM(E$100:E119)=D$93,F119,D$93-SUM(E$100:E119))</f>
        <v>250560.21010303005</v>
      </c>
      <c r="E120" s="509">
        <f>IF(+J97&lt;F119,J97,D120)</f>
        <v>34467.523809523809</v>
      </c>
      <c r="F120" s="510">
        <f t="shared" si="31"/>
        <v>216092.68629350624</v>
      </c>
      <c r="G120" s="510">
        <f t="shared" si="32"/>
        <v>233326.44819826813</v>
      </c>
      <c r="H120" s="523">
        <f t="shared" si="33"/>
        <v>61243.780922655678</v>
      </c>
      <c r="I120" s="572">
        <f t="shared" si="34"/>
        <v>61243.780922655678</v>
      </c>
      <c r="J120" s="504">
        <f t="shared" si="21"/>
        <v>0</v>
      </c>
      <c r="K120" s="504"/>
      <c r="L120" s="512"/>
      <c r="M120" s="504">
        <f t="shared" si="27"/>
        <v>0</v>
      </c>
      <c r="N120" s="512"/>
      <c r="O120" s="504">
        <f t="shared" si="24"/>
        <v>0</v>
      </c>
      <c r="P120" s="504">
        <f t="shared" si="25"/>
        <v>0</v>
      </c>
      <c r="Q120" s="243"/>
      <c r="R120" s="243"/>
      <c r="S120" s="243"/>
      <c r="T120" s="243"/>
      <c r="U120" s="243"/>
    </row>
    <row r="121" spans="2:21">
      <c r="B121" s="145" t="str">
        <f t="shared" si="26"/>
        <v/>
      </c>
      <c r="C121" s="495">
        <f>IF(D94="","-",+C120+1)</f>
        <v>2031</v>
      </c>
      <c r="D121" s="349">
        <f>IF(F120+SUM(E$100:E120)=D$93,F120,D$93-SUM(E$100:E120))</f>
        <v>216092.68629350624</v>
      </c>
      <c r="E121" s="509">
        <f>IF(+J97&lt;F120,J97,D121)</f>
        <v>34467.523809523809</v>
      </c>
      <c r="F121" s="510">
        <f t="shared" si="31"/>
        <v>181625.16248398242</v>
      </c>
      <c r="G121" s="510">
        <f t="shared" si="32"/>
        <v>198858.92438874434</v>
      </c>
      <c r="H121" s="523">
        <f t="shared" si="33"/>
        <v>57288.330150985923</v>
      </c>
      <c r="I121" s="572">
        <f t="shared" si="34"/>
        <v>57288.330150985923</v>
      </c>
      <c r="J121" s="504">
        <f t="shared" si="21"/>
        <v>0</v>
      </c>
      <c r="K121" s="504"/>
      <c r="L121" s="512"/>
      <c r="M121" s="504">
        <f t="shared" si="27"/>
        <v>0</v>
      </c>
      <c r="N121" s="512"/>
      <c r="O121" s="504">
        <f t="shared" si="24"/>
        <v>0</v>
      </c>
      <c r="P121" s="504">
        <f t="shared" si="25"/>
        <v>0</v>
      </c>
      <c r="Q121" s="243"/>
      <c r="R121" s="243"/>
      <c r="S121" s="243"/>
      <c r="T121" s="243"/>
      <c r="U121" s="243"/>
    </row>
    <row r="122" spans="2:21">
      <c r="B122" s="145" t="str">
        <f t="shared" si="26"/>
        <v/>
      </c>
      <c r="C122" s="495">
        <f>IF(D94="","-",+C121+1)</f>
        <v>2032</v>
      </c>
      <c r="D122" s="349">
        <f>IF(F121+SUM(E$100:E121)=D$93,F121,D$93-SUM(E$100:E121))</f>
        <v>181625.16248398242</v>
      </c>
      <c r="E122" s="509">
        <f>IF(+J97&lt;F121,J97,D122)</f>
        <v>34467.523809523809</v>
      </c>
      <c r="F122" s="510">
        <f t="shared" si="31"/>
        <v>147157.63867445861</v>
      </c>
      <c r="G122" s="510">
        <f t="shared" si="32"/>
        <v>164391.4005792205</v>
      </c>
      <c r="H122" s="523">
        <f t="shared" si="33"/>
        <v>53332.87937931616</v>
      </c>
      <c r="I122" s="572">
        <f t="shared" si="34"/>
        <v>53332.87937931616</v>
      </c>
      <c r="J122" s="504">
        <f t="shared" si="21"/>
        <v>0</v>
      </c>
      <c r="K122" s="504"/>
      <c r="L122" s="512"/>
      <c r="M122" s="504">
        <f t="shared" si="27"/>
        <v>0</v>
      </c>
      <c r="N122" s="512"/>
      <c r="O122" s="504">
        <f t="shared" si="24"/>
        <v>0</v>
      </c>
      <c r="P122" s="504">
        <f t="shared" si="25"/>
        <v>0</v>
      </c>
      <c r="Q122" s="243"/>
      <c r="R122" s="243"/>
      <c r="S122" s="243"/>
      <c r="T122" s="243"/>
      <c r="U122" s="243"/>
    </row>
    <row r="123" spans="2:21">
      <c r="B123" s="145" t="str">
        <f t="shared" si="26"/>
        <v/>
      </c>
      <c r="C123" s="495">
        <f>IF(D94="","-",+C122+1)</f>
        <v>2033</v>
      </c>
      <c r="D123" s="349">
        <f>IF(F122+SUM(E$100:E122)=D$93,F122,D$93-SUM(E$100:E122))</f>
        <v>147157.63867445861</v>
      </c>
      <c r="E123" s="509">
        <f>IF(+J97&lt;F122,J97,D123)</f>
        <v>34467.523809523809</v>
      </c>
      <c r="F123" s="510">
        <f t="shared" si="31"/>
        <v>112690.11486493479</v>
      </c>
      <c r="G123" s="510">
        <f t="shared" si="32"/>
        <v>129923.8767696967</v>
      </c>
      <c r="H123" s="523">
        <f t="shared" si="33"/>
        <v>49377.428607646398</v>
      </c>
      <c r="I123" s="572">
        <f t="shared" si="34"/>
        <v>49377.428607646398</v>
      </c>
      <c r="J123" s="504">
        <f t="shared" si="21"/>
        <v>0</v>
      </c>
      <c r="K123" s="504"/>
      <c r="L123" s="512"/>
      <c r="M123" s="504">
        <f t="shared" si="27"/>
        <v>0</v>
      </c>
      <c r="N123" s="512"/>
      <c r="O123" s="504">
        <f t="shared" si="24"/>
        <v>0</v>
      </c>
      <c r="P123" s="504">
        <f t="shared" si="25"/>
        <v>0</v>
      </c>
      <c r="Q123" s="243"/>
      <c r="R123" s="243"/>
      <c r="S123" s="243"/>
      <c r="T123" s="243"/>
      <c r="U123" s="243"/>
    </row>
    <row r="124" spans="2:21">
      <c r="B124" s="145" t="str">
        <f t="shared" si="26"/>
        <v/>
      </c>
      <c r="C124" s="495">
        <f>IF(D94="","-",+C123+1)</f>
        <v>2034</v>
      </c>
      <c r="D124" s="349">
        <f>IF(F123+SUM(E$100:E123)=D$93,F123,D$93-SUM(E$100:E123))</f>
        <v>112690.11486493479</v>
      </c>
      <c r="E124" s="509">
        <f>IF(+J97&lt;F123,J97,D124)</f>
        <v>34467.523809523809</v>
      </c>
      <c r="F124" s="510">
        <f t="shared" si="31"/>
        <v>78222.591055410972</v>
      </c>
      <c r="G124" s="510">
        <f t="shared" si="32"/>
        <v>95456.352960172881</v>
      </c>
      <c r="H124" s="523">
        <f t="shared" si="33"/>
        <v>45421.977835976635</v>
      </c>
      <c r="I124" s="572">
        <f t="shared" si="34"/>
        <v>45421.977835976635</v>
      </c>
      <c r="J124" s="504">
        <f t="shared" si="21"/>
        <v>0</v>
      </c>
      <c r="K124" s="504"/>
      <c r="L124" s="512"/>
      <c r="M124" s="504">
        <f t="shared" si="27"/>
        <v>0</v>
      </c>
      <c r="N124" s="512"/>
      <c r="O124" s="504">
        <f t="shared" si="24"/>
        <v>0</v>
      </c>
      <c r="P124" s="504">
        <f t="shared" si="25"/>
        <v>0</v>
      </c>
      <c r="Q124" s="243"/>
      <c r="R124" s="243"/>
      <c r="S124" s="243"/>
      <c r="T124" s="243"/>
      <c r="U124" s="243"/>
    </row>
    <row r="125" spans="2:21">
      <c r="B125" s="145" t="str">
        <f t="shared" si="26"/>
        <v/>
      </c>
      <c r="C125" s="495">
        <f>IF(D94="","-",+C124+1)</f>
        <v>2035</v>
      </c>
      <c r="D125" s="349">
        <f>IF(F124+SUM(E$100:E124)=D$93,F124,D$93-SUM(E$100:E124))</f>
        <v>78222.591055410972</v>
      </c>
      <c r="E125" s="509">
        <f>IF(+J97&lt;F124,J97,D125)</f>
        <v>34467.523809523809</v>
      </c>
      <c r="F125" s="510">
        <f t="shared" si="31"/>
        <v>43755.067245887163</v>
      </c>
      <c r="G125" s="510">
        <f t="shared" si="32"/>
        <v>60988.829150649064</v>
      </c>
      <c r="H125" s="523">
        <f t="shared" si="33"/>
        <v>41466.52706430688</v>
      </c>
      <c r="I125" s="572">
        <f t="shared" si="34"/>
        <v>41466.52706430688</v>
      </c>
      <c r="J125" s="504">
        <f t="shared" si="21"/>
        <v>0</v>
      </c>
      <c r="K125" s="504"/>
      <c r="L125" s="512"/>
      <c r="M125" s="504">
        <f t="shared" si="27"/>
        <v>0</v>
      </c>
      <c r="N125" s="512"/>
      <c r="O125" s="504">
        <f t="shared" si="24"/>
        <v>0</v>
      </c>
      <c r="P125" s="504">
        <f t="shared" si="25"/>
        <v>0</v>
      </c>
      <c r="Q125" s="243"/>
      <c r="R125" s="243"/>
      <c r="S125" s="243"/>
      <c r="T125" s="243"/>
      <c r="U125" s="243"/>
    </row>
    <row r="126" spans="2:21">
      <c r="B126" s="145" t="str">
        <f t="shared" si="26"/>
        <v/>
      </c>
      <c r="C126" s="495">
        <f>IF(D94="","-",+C125+1)</f>
        <v>2036</v>
      </c>
      <c r="D126" s="349">
        <f>IF(F125+SUM(E$100:E125)=D$93,F125,D$93-SUM(E$100:E125))</f>
        <v>43755.067245887163</v>
      </c>
      <c r="E126" s="509">
        <f>IF(+J97&lt;F125,J97,D126)</f>
        <v>34467.523809523809</v>
      </c>
      <c r="F126" s="510">
        <f t="shared" si="31"/>
        <v>9287.543436363354</v>
      </c>
      <c r="G126" s="510">
        <f t="shared" si="32"/>
        <v>26521.305341125259</v>
      </c>
      <c r="H126" s="523">
        <f t="shared" si="33"/>
        <v>37511.076292637117</v>
      </c>
      <c r="I126" s="572">
        <f t="shared" si="34"/>
        <v>37511.076292637117</v>
      </c>
      <c r="J126" s="504">
        <f t="shared" si="21"/>
        <v>0</v>
      </c>
      <c r="K126" s="504"/>
      <c r="L126" s="512"/>
      <c r="M126" s="504">
        <f t="shared" si="27"/>
        <v>0</v>
      </c>
      <c r="N126" s="512"/>
      <c r="O126" s="504">
        <f t="shared" si="24"/>
        <v>0</v>
      </c>
      <c r="P126" s="504">
        <f t="shared" si="25"/>
        <v>0</v>
      </c>
      <c r="Q126" s="243"/>
      <c r="R126" s="243"/>
      <c r="S126" s="243"/>
      <c r="T126" s="243"/>
      <c r="U126" s="243"/>
    </row>
    <row r="127" spans="2:21">
      <c r="B127" s="145" t="str">
        <f t="shared" si="26"/>
        <v/>
      </c>
      <c r="C127" s="495">
        <f>IF(D94="","-",+C126+1)</f>
        <v>2037</v>
      </c>
      <c r="D127" s="349">
        <f>IF(F126+SUM(E$100:E126)=D$93,F126,D$93-SUM(E$100:E126))</f>
        <v>9287.543436363354</v>
      </c>
      <c r="E127" s="509">
        <f>IF(+J97&lt;F126,J97,D127)</f>
        <v>9287.543436363354</v>
      </c>
      <c r="F127" s="510">
        <f t="shared" si="31"/>
        <v>0</v>
      </c>
      <c r="G127" s="510">
        <f t="shared" si="32"/>
        <v>4643.771718181677</v>
      </c>
      <c r="H127" s="523">
        <f t="shared" si="33"/>
        <v>9820.4569850025673</v>
      </c>
      <c r="I127" s="572">
        <f t="shared" si="34"/>
        <v>9820.4569850025673</v>
      </c>
      <c r="J127" s="504">
        <f t="shared" si="21"/>
        <v>0</v>
      </c>
      <c r="K127" s="504"/>
      <c r="L127" s="512"/>
      <c r="M127" s="504">
        <f t="shared" si="27"/>
        <v>0</v>
      </c>
      <c r="N127" s="512"/>
      <c r="O127" s="504">
        <f t="shared" si="24"/>
        <v>0</v>
      </c>
      <c r="P127" s="504">
        <f t="shared" si="25"/>
        <v>0</v>
      </c>
      <c r="Q127" s="243"/>
      <c r="R127" s="243"/>
      <c r="S127" s="243"/>
      <c r="T127" s="243"/>
      <c r="U127" s="243"/>
    </row>
    <row r="128" spans="2:21">
      <c r="B128" s="145" t="str">
        <f t="shared" si="26"/>
        <v/>
      </c>
      <c r="C128" s="495">
        <f>IF(D94="","-",+C127+1)</f>
        <v>2038</v>
      </c>
      <c r="D128" s="349">
        <f>IF(F127+SUM(E$100:E127)=D$93,F127,D$93-SUM(E$100:E127))</f>
        <v>0</v>
      </c>
      <c r="E128" s="509">
        <f>IF(+J97&lt;F127,J97,D128)</f>
        <v>0</v>
      </c>
      <c r="F128" s="510">
        <f t="shared" si="31"/>
        <v>0</v>
      </c>
      <c r="G128" s="510">
        <f t="shared" si="32"/>
        <v>0</v>
      </c>
      <c r="H128" s="523">
        <f t="shared" si="33"/>
        <v>0</v>
      </c>
      <c r="I128" s="572">
        <f t="shared" si="34"/>
        <v>0</v>
      </c>
      <c r="J128" s="504">
        <f t="shared" si="21"/>
        <v>0</v>
      </c>
      <c r="K128" s="504"/>
      <c r="L128" s="512"/>
      <c r="M128" s="504">
        <f t="shared" si="27"/>
        <v>0</v>
      </c>
      <c r="N128" s="512"/>
      <c r="O128" s="504">
        <f t="shared" si="24"/>
        <v>0</v>
      </c>
      <c r="P128" s="504">
        <f t="shared" si="25"/>
        <v>0</v>
      </c>
      <c r="Q128" s="243"/>
      <c r="R128" s="243"/>
      <c r="S128" s="243"/>
      <c r="T128" s="243"/>
      <c r="U128" s="243"/>
    </row>
    <row r="129" spans="2:21">
      <c r="B129" s="145" t="str">
        <f t="shared" si="26"/>
        <v/>
      </c>
      <c r="C129" s="495">
        <f>IF(D94="","-",+C128+1)</f>
        <v>2039</v>
      </c>
      <c r="D129" s="349">
        <f>IF(F128+SUM(E$100:E128)=D$93,F128,D$93-SUM(E$100:E128))</f>
        <v>0</v>
      </c>
      <c r="E129" s="509">
        <f>IF(+J97&lt;F128,J97,D129)</f>
        <v>0</v>
      </c>
      <c r="F129" s="510">
        <f t="shared" si="31"/>
        <v>0</v>
      </c>
      <c r="G129" s="510">
        <f t="shared" si="32"/>
        <v>0</v>
      </c>
      <c r="H129" s="523">
        <f t="shared" si="33"/>
        <v>0</v>
      </c>
      <c r="I129" s="572">
        <f t="shared" si="34"/>
        <v>0</v>
      </c>
      <c r="J129" s="504">
        <f t="shared" si="21"/>
        <v>0</v>
      </c>
      <c r="K129" s="504"/>
      <c r="L129" s="512"/>
      <c r="M129" s="504">
        <f t="shared" si="27"/>
        <v>0</v>
      </c>
      <c r="N129" s="512"/>
      <c r="O129" s="504">
        <f t="shared" si="24"/>
        <v>0</v>
      </c>
      <c r="P129" s="504">
        <f t="shared" si="25"/>
        <v>0</v>
      </c>
      <c r="Q129" s="243"/>
      <c r="R129" s="243"/>
      <c r="S129" s="243"/>
      <c r="T129" s="243"/>
      <c r="U129" s="243"/>
    </row>
    <row r="130" spans="2:21">
      <c r="B130" s="145" t="str">
        <f t="shared" si="26"/>
        <v/>
      </c>
      <c r="C130" s="495">
        <f>IF(D94="","-",+C129+1)</f>
        <v>2040</v>
      </c>
      <c r="D130" s="349">
        <f>IF(F129+SUM(E$100:E129)=D$93,F129,D$93-SUM(E$100:E129))</f>
        <v>0</v>
      </c>
      <c r="E130" s="509">
        <f>IF(+J97&lt;F129,J97,D130)</f>
        <v>0</v>
      </c>
      <c r="F130" s="510">
        <f t="shared" si="31"/>
        <v>0</v>
      </c>
      <c r="G130" s="510">
        <f t="shared" si="32"/>
        <v>0</v>
      </c>
      <c r="H130" s="523">
        <f t="shared" si="33"/>
        <v>0</v>
      </c>
      <c r="I130" s="572">
        <f t="shared" si="34"/>
        <v>0</v>
      </c>
      <c r="J130" s="504">
        <f t="shared" si="21"/>
        <v>0</v>
      </c>
      <c r="K130" s="504"/>
      <c r="L130" s="512"/>
      <c r="M130" s="504">
        <f t="shared" si="27"/>
        <v>0</v>
      </c>
      <c r="N130" s="512"/>
      <c r="O130" s="504">
        <f t="shared" si="24"/>
        <v>0</v>
      </c>
      <c r="P130" s="504">
        <f t="shared" si="25"/>
        <v>0</v>
      </c>
      <c r="Q130" s="243"/>
      <c r="R130" s="243"/>
      <c r="S130" s="243"/>
      <c r="T130" s="243"/>
      <c r="U130" s="243"/>
    </row>
    <row r="131" spans="2:21">
      <c r="B131" s="145" t="str">
        <f t="shared" si="26"/>
        <v/>
      </c>
      <c r="C131" s="495">
        <f>IF(D94="","-",+C130+1)</f>
        <v>2041</v>
      </c>
      <c r="D131" s="349">
        <f>IF(F130+SUM(E$100:E130)=D$93,F130,D$93-SUM(E$100:E130))</f>
        <v>0</v>
      </c>
      <c r="E131" s="509">
        <f>IF(+J97&lt;F130,J97,D131)</f>
        <v>0</v>
      </c>
      <c r="F131" s="510">
        <f t="shared" si="31"/>
        <v>0</v>
      </c>
      <c r="G131" s="510">
        <f t="shared" si="32"/>
        <v>0</v>
      </c>
      <c r="H131" s="523">
        <f t="shared" si="33"/>
        <v>0</v>
      </c>
      <c r="I131" s="572">
        <f t="shared" si="34"/>
        <v>0</v>
      </c>
      <c r="J131" s="504">
        <f t="shared" si="21"/>
        <v>0</v>
      </c>
      <c r="K131" s="504"/>
      <c r="L131" s="512"/>
      <c r="M131" s="504">
        <f t="shared" si="27"/>
        <v>0</v>
      </c>
      <c r="N131" s="512"/>
      <c r="O131" s="504">
        <f t="shared" si="24"/>
        <v>0</v>
      </c>
      <c r="P131" s="504">
        <f t="shared" si="25"/>
        <v>0</v>
      </c>
      <c r="Q131" s="243"/>
      <c r="R131" s="243"/>
      <c r="S131" s="243"/>
      <c r="T131" s="243"/>
      <c r="U131" s="243"/>
    </row>
    <row r="132" spans="2:21">
      <c r="B132" s="145" t="str">
        <f t="shared" si="26"/>
        <v/>
      </c>
      <c r="C132" s="495">
        <f>IF(D94="","-",+C131+1)</f>
        <v>2042</v>
      </c>
      <c r="D132" s="349">
        <f>IF(F131+SUM(E$100:E131)=D$93,F131,D$93-SUM(E$100:E131))</f>
        <v>0</v>
      </c>
      <c r="E132" s="509">
        <f>IF(+J97&lt;F131,J97,D132)</f>
        <v>0</v>
      </c>
      <c r="F132" s="510">
        <f t="shared" ref="F132:F155" si="35">+D132-E132</f>
        <v>0</v>
      </c>
      <c r="G132" s="510">
        <f t="shared" ref="G132:G155" si="36">+(F132+D132)/2</f>
        <v>0</v>
      </c>
      <c r="H132" s="523">
        <f t="shared" si="33"/>
        <v>0</v>
      </c>
      <c r="I132" s="572">
        <f t="shared" si="34"/>
        <v>0</v>
      </c>
      <c r="J132" s="504">
        <f t="shared" ref="J132:J155" si="37">+I132-H132</f>
        <v>0</v>
      </c>
      <c r="K132" s="504"/>
      <c r="L132" s="512"/>
      <c r="M132" s="504">
        <f t="shared" ref="M132:M155" si="38">IF(L132&lt;&gt;0,+H132-L132,0)</f>
        <v>0</v>
      </c>
      <c r="N132" s="512"/>
      <c r="O132" s="504">
        <f t="shared" ref="O132:O155" si="39">IF(N132&lt;&gt;0,+I132-N132,0)</f>
        <v>0</v>
      </c>
      <c r="P132" s="504">
        <f t="shared" ref="P132:P155" si="40">+O132-M132</f>
        <v>0</v>
      </c>
      <c r="Q132" s="243"/>
      <c r="R132" s="243"/>
      <c r="S132" s="243"/>
      <c r="T132" s="243"/>
      <c r="U132" s="243"/>
    </row>
    <row r="133" spans="2:21">
      <c r="B133" s="145" t="str">
        <f t="shared" si="26"/>
        <v/>
      </c>
      <c r="C133" s="495">
        <f>IF(D94="","-",+C132+1)</f>
        <v>2043</v>
      </c>
      <c r="D133" s="349">
        <f>IF(F132+SUM(E$100:E132)=D$93,F132,D$93-SUM(E$100:E132))</f>
        <v>0</v>
      </c>
      <c r="E133" s="509">
        <f>IF(+J97&lt;F132,J97,D133)</f>
        <v>0</v>
      </c>
      <c r="F133" s="510">
        <f t="shared" si="35"/>
        <v>0</v>
      </c>
      <c r="G133" s="510">
        <f t="shared" si="36"/>
        <v>0</v>
      </c>
      <c r="H133" s="523">
        <f t="shared" ref="H133:H155" si="41">+J$95*G133+E133</f>
        <v>0</v>
      </c>
      <c r="I133" s="572">
        <f t="shared" ref="I133:I155" si="42">+J$96*G133+E133</f>
        <v>0</v>
      </c>
      <c r="J133" s="504">
        <f t="shared" si="37"/>
        <v>0</v>
      </c>
      <c r="K133" s="504"/>
      <c r="L133" s="512"/>
      <c r="M133" s="504">
        <f t="shared" si="38"/>
        <v>0</v>
      </c>
      <c r="N133" s="512"/>
      <c r="O133" s="504">
        <f t="shared" si="39"/>
        <v>0</v>
      </c>
      <c r="P133" s="504">
        <f t="shared" si="40"/>
        <v>0</v>
      </c>
      <c r="Q133" s="243"/>
      <c r="R133" s="243"/>
      <c r="S133" s="243"/>
      <c r="T133" s="243"/>
      <c r="U133" s="243"/>
    </row>
    <row r="134" spans="2:21">
      <c r="B134" s="145" t="str">
        <f t="shared" si="26"/>
        <v/>
      </c>
      <c r="C134" s="495">
        <f>IF(D94="","-",+C133+1)</f>
        <v>2044</v>
      </c>
      <c r="D134" s="349">
        <f>IF(F133+SUM(E$100:E133)=D$93,F133,D$93-SUM(E$100:E133))</f>
        <v>0</v>
      </c>
      <c r="E134" s="509">
        <f>IF(+J97&lt;F133,J97,D134)</f>
        <v>0</v>
      </c>
      <c r="F134" s="510">
        <f t="shared" si="35"/>
        <v>0</v>
      </c>
      <c r="G134" s="510">
        <f t="shared" si="36"/>
        <v>0</v>
      </c>
      <c r="H134" s="523">
        <f t="shared" si="41"/>
        <v>0</v>
      </c>
      <c r="I134" s="572">
        <f t="shared" si="42"/>
        <v>0</v>
      </c>
      <c r="J134" s="504">
        <f t="shared" si="37"/>
        <v>0</v>
      </c>
      <c r="K134" s="504"/>
      <c r="L134" s="512"/>
      <c r="M134" s="504">
        <f t="shared" si="38"/>
        <v>0</v>
      </c>
      <c r="N134" s="512"/>
      <c r="O134" s="504">
        <f t="shared" si="39"/>
        <v>0</v>
      </c>
      <c r="P134" s="504">
        <f t="shared" si="40"/>
        <v>0</v>
      </c>
      <c r="Q134" s="243"/>
      <c r="R134" s="243"/>
      <c r="S134" s="243"/>
      <c r="T134" s="243"/>
      <c r="U134" s="243"/>
    </row>
    <row r="135" spans="2:21">
      <c r="B135" s="145" t="str">
        <f t="shared" si="26"/>
        <v/>
      </c>
      <c r="C135" s="495">
        <f>IF(D94="","-",+C134+1)</f>
        <v>2045</v>
      </c>
      <c r="D135" s="349">
        <f>IF(F134+SUM(E$100:E134)=D$93,F134,D$93-SUM(E$100:E134))</f>
        <v>0</v>
      </c>
      <c r="E135" s="509">
        <f>IF(+J97&lt;F134,J97,D135)</f>
        <v>0</v>
      </c>
      <c r="F135" s="510">
        <f t="shared" si="35"/>
        <v>0</v>
      </c>
      <c r="G135" s="510">
        <f t="shared" si="36"/>
        <v>0</v>
      </c>
      <c r="H135" s="523">
        <f t="shared" si="41"/>
        <v>0</v>
      </c>
      <c r="I135" s="572">
        <f t="shared" si="42"/>
        <v>0</v>
      </c>
      <c r="J135" s="504">
        <f t="shared" si="37"/>
        <v>0</v>
      </c>
      <c r="K135" s="504"/>
      <c r="L135" s="512"/>
      <c r="M135" s="504">
        <f t="shared" si="38"/>
        <v>0</v>
      </c>
      <c r="N135" s="512"/>
      <c r="O135" s="504">
        <f t="shared" si="39"/>
        <v>0</v>
      </c>
      <c r="P135" s="504">
        <f t="shared" si="40"/>
        <v>0</v>
      </c>
      <c r="Q135" s="243"/>
      <c r="R135" s="243"/>
      <c r="S135" s="243"/>
      <c r="T135" s="243"/>
      <c r="U135" s="243"/>
    </row>
    <row r="136" spans="2:21">
      <c r="B136" s="145" t="str">
        <f t="shared" si="26"/>
        <v/>
      </c>
      <c r="C136" s="495">
        <f>IF(D94="","-",+C135+1)</f>
        <v>2046</v>
      </c>
      <c r="D136" s="349">
        <f>IF(F135+SUM(E$100:E135)=D$93,F135,D$93-SUM(E$100:E135))</f>
        <v>0</v>
      </c>
      <c r="E136" s="509">
        <f>IF(+J97&lt;F135,J97,D136)</f>
        <v>0</v>
      </c>
      <c r="F136" s="510">
        <f t="shared" si="35"/>
        <v>0</v>
      </c>
      <c r="G136" s="510">
        <f t="shared" si="36"/>
        <v>0</v>
      </c>
      <c r="H136" s="523">
        <f t="shared" si="41"/>
        <v>0</v>
      </c>
      <c r="I136" s="572">
        <f t="shared" si="42"/>
        <v>0</v>
      </c>
      <c r="J136" s="504">
        <f t="shared" si="37"/>
        <v>0</v>
      </c>
      <c r="K136" s="504"/>
      <c r="L136" s="512"/>
      <c r="M136" s="504">
        <f t="shared" si="38"/>
        <v>0</v>
      </c>
      <c r="N136" s="512"/>
      <c r="O136" s="504">
        <f t="shared" si="39"/>
        <v>0</v>
      </c>
      <c r="P136" s="504">
        <f t="shared" si="40"/>
        <v>0</v>
      </c>
      <c r="Q136" s="243"/>
      <c r="R136" s="243"/>
      <c r="S136" s="243"/>
      <c r="T136" s="243"/>
      <c r="U136" s="243"/>
    </row>
    <row r="137" spans="2:21">
      <c r="B137" s="145" t="str">
        <f t="shared" si="26"/>
        <v/>
      </c>
      <c r="C137" s="495">
        <f>IF(D94="","-",+C136+1)</f>
        <v>2047</v>
      </c>
      <c r="D137" s="349">
        <f>IF(F136+SUM(E$100:E136)=D$93,F136,D$93-SUM(E$100:E136))</f>
        <v>0</v>
      </c>
      <c r="E137" s="509">
        <f>IF(+J97&lt;F136,J97,D137)</f>
        <v>0</v>
      </c>
      <c r="F137" s="510">
        <f t="shared" si="35"/>
        <v>0</v>
      </c>
      <c r="G137" s="510">
        <f t="shared" si="36"/>
        <v>0</v>
      </c>
      <c r="H137" s="523">
        <f t="shared" si="41"/>
        <v>0</v>
      </c>
      <c r="I137" s="572">
        <f t="shared" si="42"/>
        <v>0</v>
      </c>
      <c r="J137" s="504">
        <f t="shared" si="37"/>
        <v>0</v>
      </c>
      <c r="K137" s="504"/>
      <c r="L137" s="512"/>
      <c r="M137" s="504">
        <f t="shared" si="38"/>
        <v>0</v>
      </c>
      <c r="N137" s="512"/>
      <c r="O137" s="504">
        <f t="shared" si="39"/>
        <v>0</v>
      </c>
      <c r="P137" s="504">
        <f t="shared" si="40"/>
        <v>0</v>
      </c>
      <c r="Q137" s="243"/>
      <c r="R137" s="243"/>
      <c r="S137" s="243"/>
      <c r="T137" s="243"/>
      <c r="U137" s="243"/>
    </row>
    <row r="138" spans="2:21">
      <c r="B138" s="145" t="str">
        <f t="shared" si="26"/>
        <v/>
      </c>
      <c r="C138" s="495">
        <f>IF(D94="","-",+C137+1)</f>
        <v>2048</v>
      </c>
      <c r="D138" s="349">
        <f>IF(F137+SUM(E$100:E137)=D$93,F137,D$93-SUM(E$100:E137))</f>
        <v>0</v>
      </c>
      <c r="E138" s="509">
        <f>IF(+J97&lt;F137,J97,D138)</f>
        <v>0</v>
      </c>
      <c r="F138" s="510">
        <f t="shared" si="35"/>
        <v>0</v>
      </c>
      <c r="G138" s="510">
        <f t="shared" si="36"/>
        <v>0</v>
      </c>
      <c r="H138" s="523">
        <f t="shared" si="41"/>
        <v>0</v>
      </c>
      <c r="I138" s="572">
        <f t="shared" si="42"/>
        <v>0</v>
      </c>
      <c r="J138" s="504">
        <f t="shared" si="37"/>
        <v>0</v>
      </c>
      <c r="K138" s="504"/>
      <c r="L138" s="512"/>
      <c r="M138" s="504">
        <f t="shared" si="38"/>
        <v>0</v>
      </c>
      <c r="N138" s="512"/>
      <c r="O138" s="504">
        <f t="shared" si="39"/>
        <v>0</v>
      </c>
      <c r="P138" s="504">
        <f t="shared" si="40"/>
        <v>0</v>
      </c>
      <c r="Q138" s="243"/>
      <c r="R138" s="243"/>
      <c r="S138" s="243"/>
      <c r="T138" s="243"/>
      <c r="U138" s="243"/>
    </row>
    <row r="139" spans="2:21">
      <c r="B139" s="145" t="str">
        <f t="shared" si="26"/>
        <v/>
      </c>
      <c r="C139" s="495">
        <f>IF(D94="","-",+C138+1)</f>
        <v>2049</v>
      </c>
      <c r="D139" s="349">
        <f>IF(F138+SUM(E$100:E138)=D$93,F138,D$93-SUM(E$100:E138))</f>
        <v>0</v>
      </c>
      <c r="E139" s="509">
        <f>IF(+J97&lt;F138,J97,D139)</f>
        <v>0</v>
      </c>
      <c r="F139" s="510">
        <f t="shared" si="35"/>
        <v>0</v>
      </c>
      <c r="G139" s="510">
        <f t="shared" si="36"/>
        <v>0</v>
      </c>
      <c r="H139" s="523">
        <f t="shared" si="41"/>
        <v>0</v>
      </c>
      <c r="I139" s="572">
        <f t="shared" si="42"/>
        <v>0</v>
      </c>
      <c r="J139" s="504">
        <f t="shared" si="37"/>
        <v>0</v>
      </c>
      <c r="K139" s="504"/>
      <c r="L139" s="512"/>
      <c r="M139" s="504">
        <f t="shared" si="38"/>
        <v>0</v>
      </c>
      <c r="N139" s="512"/>
      <c r="O139" s="504">
        <f t="shared" si="39"/>
        <v>0</v>
      </c>
      <c r="P139" s="504">
        <f t="shared" si="40"/>
        <v>0</v>
      </c>
      <c r="Q139" s="243"/>
      <c r="R139" s="243"/>
      <c r="S139" s="243"/>
      <c r="T139" s="243"/>
      <c r="U139" s="243"/>
    </row>
    <row r="140" spans="2:21">
      <c r="B140" s="145" t="str">
        <f t="shared" si="26"/>
        <v/>
      </c>
      <c r="C140" s="495">
        <f>IF(D94="","-",+C139+1)</f>
        <v>2050</v>
      </c>
      <c r="D140" s="349">
        <f>IF(F139+SUM(E$100:E139)=D$93,F139,D$93-SUM(E$100:E139))</f>
        <v>0</v>
      </c>
      <c r="E140" s="509">
        <f>IF(+J97&lt;F139,J97,D140)</f>
        <v>0</v>
      </c>
      <c r="F140" s="510">
        <f t="shared" si="35"/>
        <v>0</v>
      </c>
      <c r="G140" s="510">
        <f t="shared" si="36"/>
        <v>0</v>
      </c>
      <c r="H140" s="523">
        <f t="shared" si="41"/>
        <v>0</v>
      </c>
      <c r="I140" s="572">
        <f t="shared" si="42"/>
        <v>0</v>
      </c>
      <c r="J140" s="504">
        <f t="shared" si="37"/>
        <v>0</v>
      </c>
      <c r="K140" s="504"/>
      <c r="L140" s="512"/>
      <c r="M140" s="504">
        <f t="shared" si="38"/>
        <v>0</v>
      </c>
      <c r="N140" s="512"/>
      <c r="O140" s="504">
        <f t="shared" si="39"/>
        <v>0</v>
      </c>
      <c r="P140" s="504">
        <f t="shared" si="40"/>
        <v>0</v>
      </c>
      <c r="Q140" s="243"/>
      <c r="R140" s="243"/>
      <c r="S140" s="243"/>
      <c r="T140" s="243"/>
      <c r="U140" s="243"/>
    </row>
    <row r="141" spans="2:21">
      <c r="B141" s="145" t="str">
        <f t="shared" si="26"/>
        <v/>
      </c>
      <c r="C141" s="495">
        <f>IF(D94="","-",+C140+1)</f>
        <v>2051</v>
      </c>
      <c r="D141" s="349">
        <f>IF(F140+SUM(E$100:E140)=D$93,F140,D$93-SUM(E$100:E140))</f>
        <v>0</v>
      </c>
      <c r="E141" s="509">
        <f>IF(+J97&lt;F140,J97,D141)</f>
        <v>0</v>
      </c>
      <c r="F141" s="510">
        <f t="shared" si="35"/>
        <v>0</v>
      </c>
      <c r="G141" s="510">
        <f t="shared" si="36"/>
        <v>0</v>
      </c>
      <c r="H141" s="523">
        <f t="shared" si="41"/>
        <v>0</v>
      </c>
      <c r="I141" s="572">
        <f t="shared" si="42"/>
        <v>0</v>
      </c>
      <c r="J141" s="504">
        <f t="shared" si="37"/>
        <v>0</v>
      </c>
      <c r="K141" s="504"/>
      <c r="L141" s="512"/>
      <c r="M141" s="504">
        <f t="shared" si="38"/>
        <v>0</v>
      </c>
      <c r="N141" s="512"/>
      <c r="O141" s="504">
        <f t="shared" si="39"/>
        <v>0</v>
      </c>
      <c r="P141" s="504">
        <f t="shared" si="40"/>
        <v>0</v>
      </c>
      <c r="Q141" s="243"/>
      <c r="R141" s="243"/>
      <c r="S141" s="243"/>
      <c r="T141" s="243"/>
      <c r="U141" s="243"/>
    </row>
    <row r="142" spans="2:21">
      <c r="B142" s="145" t="str">
        <f t="shared" si="26"/>
        <v/>
      </c>
      <c r="C142" s="495">
        <f>IF(D94="","-",+C141+1)</f>
        <v>2052</v>
      </c>
      <c r="D142" s="349">
        <f>IF(F141+SUM(E$100:E141)=D$93,F141,D$93-SUM(E$100:E141))</f>
        <v>0</v>
      </c>
      <c r="E142" s="509">
        <f>IF(+J97&lt;F141,J97,D142)</f>
        <v>0</v>
      </c>
      <c r="F142" s="510">
        <f t="shared" si="35"/>
        <v>0</v>
      </c>
      <c r="G142" s="510">
        <f t="shared" si="36"/>
        <v>0</v>
      </c>
      <c r="H142" s="523">
        <f t="shared" si="41"/>
        <v>0</v>
      </c>
      <c r="I142" s="572">
        <f t="shared" si="42"/>
        <v>0</v>
      </c>
      <c r="J142" s="504">
        <f t="shared" si="37"/>
        <v>0</v>
      </c>
      <c r="K142" s="504"/>
      <c r="L142" s="512"/>
      <c r="M142" s="504">
        <f t="shared" si="38"/>
        <v>0</v>
      </c>
      <c r="N142" s="512"/>
      <c r="O142" s="504">
        <f t="shared" si="39"/>
        <v>0</v>
      </c>
      <c r="P142" s="504">
        <f t="shared" si="40"/>
        <v>0</v>
      </c>
      <c r="Q142" s="243"/>
      <c r="R142" s="243"/>
      <c r="S142" s="243"/>
      <c r="T142" s="243"/>
      <c r="U142" s="243"/>
    </row>
    <row r="143" spans="2:21">
      <c r="B143" s="145" t="str">
        <f t="shared" si="26"/>
        <v/>
      </c>
      <c r="C143" s="495">
        <f>IF(D94="","-",+C142+1)</f>
        <v>2053</v>
      </c>
      <c r="D143" s="349">
        <f>IF(F142+SUM(E$100:E142)=D$93,F142,D$93-SUM(E$100:E142))</f>
        <v>0</v>
      </c>
      <c r="E143" s="509">
        <f>IF(+J97&lt;F142,J97,D143)</f>
        <v>0</v>
      </c>
      <c r="F143" s="510">
        <f t="shared" si="35"/>
        <v>0</v>
      </c>
      <c r="G143" s="510">
        <f t="shared" si="36"/>
        <v>0</v>
      </c>
      <c r="H143" s="523">
        <f t="shared" si="41"/>
        <v>0</v>
      </c>
      <c r="I143" s="572">
        <f t="shared" si="42"/>
        <v>0</v>
      </c>
      <c r="J143" s="504">
        <f t="shared" si="37"/>
        <v>0</v>
      </c>
      <c r="K143" s="504"/>
      <c r="L143" s="512"/>
      <c r="M143" s="504">
        <f t="shared" si="38"/>
        <v>0</v>
      </c>
      <c r="N143" s="512"/>
      <c r="O143" s="504">
        <f t="shared" si="39"/>
        <v>0</v>
      </c>
      <c r="P143" s="504">
        <f t="shared" si="40"/>
        <v>0</v>
      </c>
      <c r="Q143" s="243"/>
      <c r="R143" s="243"/>
      <c r="S143" s="243"/>
      <c r="T143" s="243"/>
      <c r="U143" s="243"/>
    </row>
    <row r="144" spans="2:21">
      <c r="B144" s="145" t="str">
        <f t="shared" si="26"/>
        <v/>
      </c>
      <c r="C144" s="495">
        <f>IF(D94="","-",+C143+1)</f>
        <v>2054</v>
      </c>
      <c r="D144" s="349">
        <f>IF(F143+SUM(E$100:E143)=D$93,F143,D$93-SUM(E$100:E143))</f>
        <v>0</v>
      </c>
      <c r="E144" s="509">
        <f>IF(+J97&lt;F143,J97,D144)</f>
        <v>0</v>
      </c>
      <c r="F144" s="510">
        <f t="shared" si="35"/>
        <v>0</v>
      </c>
      <c r="G144" s="510">
        <f t="shared" si="36"/>
        <v>0</v>
      </c>
      <c r="H144" s="523">
        <f t="shared" si="41"/>
        <v>0</v>
      </c>
      <c r="I144" s="572">
        <f t="shared" si="42"/>
        <v>0</v>
      </c>
      <c r="J144" s="504">
        <f t="shared" si="37"/>
        <v>0</v>
      </c>
      <c r="K144" s="504"/>
      <c r="L144" s="512"/>
      <c r="M144" s="504">
        <f t="shared" si="38"/>
        <v>0</v>
      </c>
      <c r="N144" s="512"/>
      <c r="O144" s="504">
        <f t="shared" si="39"/>
        <v>0</v>
      </c>
      <c r="P144" s="504">
        <f t="shared" si="40"/>
        <v>0</v>
      </c>
      <c r="Q144" s="243"/>
      <c r="R144" s="243"/>
      <c r="S144" s="243"/>
      <c r="T144" s="243"/>
      <c r="U144" s="243"/>
    </row>
    <row r="145" spans="2:21">
      <c r="B145" s="145" t="str">
        <f t="shared" si="26"/>
        <v/>
      </c>
      <c r="C145" s="495">
        <f>IF(D94="","-",+C144+1)</f>
        <v>2055</v>
      </c>
      <c r="D145" s="349">
        <f>IF(F144+SUM(E$100:E144)=D$93,F144,D$93-SUM(E$100:E144))</f>
        <v>0</v>
      </c>
      <c r="E145" s="509">
        <f>IF(+J97&lt;F144,J97,D145)</f>
        <v>0</v>
      </c>
      <c r="F145" s="510">
        <f t="shared" si="35"/>
        <v>0</v>
      </c>
      <c r="G145" s="510">
        <f t="shared" si="36"/>
        <v>0</v>
      </c>
      <c r="H145" s="523">
        <f t="shared" si="41"/>
        <v>0</v>
      </c>
      <c r="I145" s="572">
        <f t="shared" si="42"/>
        <v>0</v>
      </c>
      <c r="J145" s="504">
        <f t="shared" si="37"/>
        <v>0</v>
      </c>
      <c r="K145" s="504"/>
      <c r="L145" s="512"/>
      <c r="M145" s="504">
        <f t="shared" si="38"/>
        <v>0</v>
      </c>
      <c r="N145" s="512"/>
      <c r="O145" s="504">
        <f t="shared" si="39"/>
        <v>0</v>
      </c>
      <c r="P145" s="504">
        <f t="shared" si="40"/>
        <v>0</v>
      </c>
      <c r="Q145" s="243"/>
      <c r="R145" s="243"/>
      <c r="S145" s="243"/>
      <c r="T145" s="243"/>
      <c r="U145" s="243"/>
    </row>
    <row r="146" spans="2:21">
      <c r="B146" s="145" t="str">
        <f t="shared" si="26"/>
        <v/>
      </c>
      <c r="C146" s="495">
        <f>IF(D94="","-",+C145+1)</f>
        <v>2056</v>
      </c>
      <c r="D146" s="349">
        <f>IF(F145+SUM(E$100:E145)=D$93,F145,D$93-SUM(E$100:E145))</f>
        <v>0</v>
      </c>
      <c r="E146" s="509">
        <f>IF(+J97&lt;F145,J97,D146)</f>
        <v>0</v>
      </c>
      <c r="F146" s="510">
        <f t="shared" si="35"/>
        <v>0</v>
      </c>
      <c r="G146" s="510">
        <f t="shared" si="36"/>
        <v>0</v>
      </c>
      <c r="H146" s="523">
        <f t="shared" si="41"/>
        <v>0</v>
      </c>
      <c r="I146" s="572">
        <f t="shared" si="42"/>
        <v>0</v>
      </c>
      <c r="J146" s="504">
        <f t="shared" si="37"/>
        <v>0</v>
      </c>
      <c r="K146" s="504"/>
      <c r="L146" s="512"/>
      <c r="M146" s="504">
        <f t="shared" si="38"/>
        <v>0</v>
      </c>
      <c r="N146" s="512"/>
      <c r="O146" s="504">
        <f t="shared" si="39"/>
        <v>0</v>
      </c>
      <c r="P146" s="504">
        <f t="shared" si="40"/>
        <v>0</v>
      </c>
      <c r="Q146" s="243"/>
      <c r="R146" s="243"/>
      <c r="S146" s="243"/>
      <c r="T146" s="243"/>
      <c r="U146" s="243"/>
    </row>
    <row r="147" spans="2:21">
      <c r="B147" s="145" t="str">
        <f t="shared" si="26"/>
        <v/>
      </c>
      <c r="C147" s="495">
        <f>IF(D94="","-",+C146+1)</f>
        <v>2057</v>
      </c>
      <c r="D147" s="349">
        <f>IF(F146+SUM(E$100:E146)=D$93,F146,D$93-SUM(E$100:E146))</f>
        <v>0</v>
      </c>
      <c r="E147" s="509">
        <f>IF(+J97&lt;F146,J97,D147)</f>
        <v>0</v>
      </c>
      <c r="F147" s="510">
        <f t="shared" si="35"/>
        <v>0</v>
      </c>
      <c r="G147" s="510">
        <f t="shared" si="36"/>
        <v>0</v>
      </c>
      <c r="H147" s="523">
        <f t="shared" si="41"/>
        <v>0</v>
      </c>
      <c r="I147" s="572">
        <f t="shared" si="42"/>
        <v>0</v>
      </c>
      <c r="J147" s="504">
        <f t="shared" si="37"/>
        <v>0</v>
      </c>
      <c r="K147" s="504"/>
      <c r="L147" s="512"/>
      <c r="M147" s="504">
        <f t="shared" si="38"/>
        <v>0</v>
      </c>
      <c r="N147" s="512"/>
      <c r="O147" s="504">
        <f t="shared" si="39"/>
        <v>0</v>
      </c>
      <c r="P147" s="504">
        <f t="shared" si="40"/>
        <v>0</v>
      </c>
      <c r="Q147" s="243"/>
      <c r="R147" s="243"/>
      <c r="S147" s="243"/>
      <c r="T147" s="243"/>
      <c r="U147" s="243"/>
    </row>
    <row r="148" spans="2:21">
      <c r="B148" s="145" t="str">
        <f t="shared" si="26"/>
        <v/>
      </c>
      <c r="C148" s="495">
        <f>IF(D94="","-",+C147+1)</f>
        <v>2058</v>
      </c>
      <c r="D148" s="349">
        <f>IF(F147+SUM(E$100:E147)=D$93,F147,D$93-SUM(E$100:E147))</f>
        <v>0</v>
      </c>
      <c r="E148" s="509">
        <f>IF(+J97&lt;F147,J97,D148)</f>
        <v>0</v>
      </c>
      <c r="F148" s="510">
        <f t="shared" si="35"/>
        <v>0</v>
      </c>
      <c r="G148" s="510">
        <f t="shared" si="36"/>
        <v>0</v>
      </c>
      <c r="H148" s="523">
        <f t="shared" si="41"/>
        <v>0</v>
      </c>
      <c r="I148" s="572">
        <f t="shared" si="42"/>
        <v>0</v>
      </c>
      <c r="J148" s="504">
        <f t="shared" si="37"/>
        <v>0</v>
      </c>
      <c r="K148" s="504"/>
      <c r="L148" s="512"/>
      <c r="M148" s="504">
        <f t="shared" si="38"/>
        <v>0</v>
      </c>
      <c r="N148" s="512"/>
      <c r="O148" s="504">
        <f t="shared" si="39"/>
        <v>0</v>
      </c>
      <c r="P148" s="504">
        <f t="shared" si="40"/>
        <v>0</v>
      </c>
      <c r="Q148" s="243"/>
      <c r="R148" s="243"/>
      <c r="S148" s="243"/>
      <c r="T148" s="243"/>
      <c r="U148" s="243"/>
    </row>
    <row r="149" spans="2:21">
      <c r="B149" s="145" t="str">
        <f t="shared" si="26"/>
        <v/>
      </c>
      <c r="C149" s="495">
        <f>IF(D94="","-",+C148+1)</f>
        <v>2059</v>
      </c>
      <c r="D149" s="349">
        <f>IF(F148+SUM(E$100:E148)=D$93,F148,D$93-SUM(E$100:E148))</f>
        <v>0</v>
      </c>
      <c r="E149" s="509">
        <f>IF(+J97&lt;F148,J97,D149)</f>
        <v>0</v>
      </c>
      <c r="F149" s="510">
        <f t="shared" si="35"/>
        <v>0</v>
      </c>
      <c r="G149" s="510">
        <f t="shared" si="36"/>
        <v>0</v>
      </c>
      <c r="H149" s="523">
        <f t="shared" si="41"/>
        <v>0</v>
      </c>
      <c r="I149" s="572">
        <f t="shared" si="42"/>
        <v>0</v>
      </c>
      <c r="J149" s="504">
        <f t="shared" si="37"/>
        <v>0</v>
      </c>
      <c r="K149" s="504"/>
      <c r="L149" s="512"/>
      <c r="M149" s="504">
        <f t="shared" si="38"/>
        <v>0</v>
      </c>
      <c r="N149" s="512"/>
      <c r="O149" s="504">
        <f t="shared" si="39"/>
        <v>0</v>
      </c>
      <c r="P149" s="504">
        <f t="shared" si="40"/>
        <v>0</v>
      </c>
      <c r="Q149" s="243"/>
      <c r="R149" s="243"/>
      <c r="S149" s="243"/>
      <c r="T149" s="243"/>
      <c r="U149" s="243"/>
    </row>
    <row r="150" spans="2:21">
      <c r="B150" s="145" t="str">
        <f t="shared" si="26"/>
        <v/>
      </c>
      <c r="C150" s="495">
        <f>IF(D94="","-",+C149+1)</f>
        <v>2060</v>
      </c>
      <c r="D150" s="349">
        <f>IF(F149+SUM(E$100:E149)=D$93,F149,D$93-SUM(E$100:E149))</f>
        <v>0</v>
      </c>
      <c r="E150" s="509">
        <f>IF(+J97&lt;F149,J97,D150)</f>
        <v>0</v>
      </c>
      <c r="F150" s="510">
        <f t="shared" si="35"/>
        <v>0</v>
      </c>
      <c r="G150" s="510">
        <f t="shared" si="36"/>
        <v>0</v>
      </c>
      <c r="H150" s="523">
        <f t="shared" si="41"/>
        <v>0</v>
      </c>
      <c r="I150" s="572">
        <f t="shared" si="42"/>
        <v>0</v>
      </c>
      <c r="J150" s="504">
        <f t="shared" si="37"/>
        <v>0</v>
      </c>
      <c r="K150" s="504"/>
      <c r="L150" s="512"/>
      <c r="M150" s="504">
        <f t="shared" si="38"/>
        <v>0</v>
      </c>
      <c r="N150" s="512"/>
      <c r="O150" s="504">
        <f t="shared" si="39"/>
        <v>0</v>
      </c>
      <c r="P150" s="504">
        <f t="shared" si="40"/>
        <v>0</v>
      </c>
      <c r="Q150" s="243"/>
      <c r="R150" s="243"/>
      <c r="S150" s="243"/>
      <c r="T150" s="243"/>
      <c r="U150" s="243"/>
    </row>
    <row r="151" spans="2:21">
      <c r="B151" s="145" t="str">
        <f t="shared" si="26"/>
        <v/>
      </c>
      <c r="C151" s="495">
        <f>IF(D94="","-",+C150+1)</f>
        <v>2061</v>
      </c>
      <c r="D151" s="349">
        <f>IF(F150+SUM(E$100:E150)=D$93,F150,D$93-SUM(E$100:E150))</f>
        <v>0</v>
      </c>
      <c r="E151" s="509">
        <f>IF(+J97&lt;F150,J97,D151)</f>
        <v>0</v>
      </c>
      <c r="F151" s="510">
        <f t="shared" si="35"/>
        <v>0</v>
      </c>
      <c r="G151" s="510">
        <f t="shared" si="36"/>
        <v>0</v>
      </c>
      <c r="H151" s="523">
        <f t="shared" si="41"/>
        <v>0</v>
      </c>
      <c r="I151" s="572">
        <f t="shared" si="42"/>
        <v>0</v>
      </c>
      <c r="J151" s="504">
        <f t="shared" si="37"/>
        <v>0</v>
      </c>
      <c r="K151" s="504"/>
      <c r="L151" s="512"/>
      <c r="M151" s="504">
        <f t="shared" si="38"/>
        <v>0</v>
      </c>
      <c r="N151" s="512"/>
      <c r="O151" s="504">
        <f t="shared" si="39"/>
        <v>0</v>
      </c>
      <c r="P151" s="504">
        <f t="shared" si="40"/>
        <v>0</v>
      </c>
      <c r="Q151" s="243"/>
      <c r="R151" s="243"/>
      <c r="S151" s="243"/>
      <c r="T151" s="243"/>
      <c r="U151" s="243"/>
    </row>
    <row r="152" spans="2:21">
      <c r="B152" s="145" t="str">
        <f t="shared" si="26"/>
        <v/>
      </c>
      <c r="C152" s="495">
        <f>IF(D94="","-",+C151+1)</f>
        <v>2062</v>
      </c>
      <c r="D152" s="349">
        <f>IF(F151+SUM(E$100:E151)=D$93,F151,D$93-SUM(E$100:E151))</f>
        <v>0</v>
      </c>
      <c r="E152" s="509">
        <f>IF(+J97&lt;F151,J97,D152)</f>
        <v>0</v>
      </c>
      <c r="F152" s="510">
        <f t="shared" si="35"/>
        <v>0</v>
      </c>
      <c r="G152" s="510">
        <f t="shared" si="36"/>
        <v>0</v>
      </c>
      <c r="H152" s="523">
        <f t="shared" si="41"/>
        <v>0</v>
      </c>
      <c r="I152" s="572">
        <f t="shared" si="42"/>
        <v>0</v>
      </c>
      <c r="J152" s="504">
        <f t="shared" si="37"/>
        <v>0</v>
      </c>
      <c r="K152" s="504"/>
      <c r="L152" s="512"/>
      <c r="M152" s="504">
        <f t="shared" si="38"/>
        <v>0</v>
      </c>
      <c r="N152" s="512"/>
      <c r="O152" s="504">
        <f t="shared" si="39"/>
        <v>0</v>
      </c>
      <c r="P152" s="504">
        <f t="shared" si="40"/>
        <v>0</v>
      </c>
      <c r="Q152" s="243"/>
      <c r="R152" s="243"/>
      <c r="S152" s="243"/>
      <c r="T152" s="243"/>
      <c r="U152" s="243"/>
    </row>
    <row r="153" spans="2:21">
      <c r="B153" s="145" t="str">
        <f t="shared" si="26"/>
        <v/>
      </c>
      <c r="C153" s="495">
        <f>IF(D94="","-",+C152+1)</f>
        <v>2063</v>
      </c>
      <c r="D153" s="349">
        <f>IF(F152+SUM(E$100:E152)=D$93,F152,D$93-SUM(E$100:E152))</f>
        <v>0</v>
      </c>
      <c r="E153" s="509">
        <f>IF(+J97&lt;F152,J97,D153)</f>
        <v>0</v>
      </c>
      <c r="F153" s="510">
        <f t="shared" si="35"/>
        <v>0</v>
      </c>
      <c r="G153" s="510">
        <f t="shared" si="36"/>
        <v>0</v>
      </c>
      <c r="H153" s="523">
        <f t="shared" si="41"/>
        <v>0</v>
      </c>
      <c r="I153" s="572">
        <f t="shared" si="42"/>
        <v>0</v>
      </c>
      <c r="J153" s="504">
        <f t="shared" si="37"/>
        <v>0</v>
      </c>
      <c r="K153" s="504"/>
      <c r="L153" s="512"/>
      <c r="M153" s="504">
        <f t="shared" si="38"/>
        <v>0</v>
      </c>
      <c r="N153" s="512"/>
      <c r="O153" s="504">
        <f t="shared" si="39"/>
        <v>0</v>
      </c>
      <c r="P153" s="504">
        <f t="shared" si="40"/>
        <v>0</v>
      </c>
      <c r="Q153" s="243"/>
      <c r="R153" s="243"/>
      <c r="S153" s="243"/>
      <c r="T153" s="243"/>
      <c r="U153" s="243"/>
    </row>
    <row r="154" spans="2:21">
      <c r="B154" s="145" t="str">
        <f t="shared" si="26"/>
        <v/>
      </c>
      <c r="C154" s="495">
        <f>IF(D94="","-",+C153+1)</f>
        <v>2064</v>
      </c>
      <c r="D154" s="349">
        <f>IF(F153+SUM(E$100:E153)=D$93,F153,D$93-SUM(E$100:E153))</f>
        <v>0</v>
      </c>
      <c r="E154" s="509">
        <f>IF(+J97&lt;F153,J97,D154)</f>
        <v>0</v>
      </c>
      <c r="F154" s="510">
        <f t="shared" si="35"/>
        <v>0</v>
      </c>
      <c r="G154" s="510">
        <f t="shared" si="36"/>
        <v>0</v>
      </c>
      <c r="H154" s="523">
        <f t="shared" si="41"/>
        <v>0</v>
      </c>
      <c r="I154" s="572">
        <f t="shared" si="42"/>
        <v>0</v>
      </c>
      <c r="J154" s="504">
        <f t="shared" si="37"/>
        <v>0</v>
      </c>
      <c r="K154" s="504"/>
      <c r="L154" s="512"/>
      <c r="M154" s="504">
        <f t="shared" si="38"/>
        <v>0</v>
      </c>
      <c r="N154" s="512"/>
      <c r="O154" s="504">
        <f t="shared" si="39"/>
        <v>0</v>
      </c>
      <c r="P154" s="504">
        <f t="shared" si="40"/>
        <v>0</v>
      </c>
      <c r="Q154" s="243"/>
      <c r="R154" s="243"/>
      <c r="S154" s="243"/>
      <c r="T154" s="243"/>
      <c r="U154" s="243"/>
    </row>
    <row r="155" spans="2:21" ht="13.5" thickBot="1">
      <c r="B155" s="145" t="str">
        <f t="shared" si="26"/>
        <v/>
      </c>
      <c r="C155" s="524">
        <f>IF(D94="","-",+C154+1)</f>
        <v>2065</v>
      </c>
      <c r="D155" s="527">
        <f>IF(F154+SUM(E$100:E154)=D$93,F154,D$93-SUM(E$100:E154))</f>
        <v>0</v>
      </c>
      <c r="E155" s="526">
        <f>IF(+J97&lt;F154,J97,D155)</f>
        <v>0</v>
      </c>
      <c r="F155" s="527">
        <f t="shared" si="35"/>
        <v>0</v>
      </c>
      <c r="G155" s="527">
        <f t="shared" si="36"/>
        <v>0</v>
      </c>
      <c r="H155" s="528">
        <f t="shared" si="41"/>
        <v>0</v>
      </c>
      <c r="I155" s="573">
        <f t="shared" si="42"/>
        <v>0</v>
      </c>
      <c r="J155" s="531">
        <f t="shared" si="37"/>
        <v>0</v>
      </c>
      <c r="K155" s="504"/>
      <c r="L155" s="530"/>
      <c r="M155" s="531">
        <f t="shared" si="38"/>
        <v>0</v>
      </c>
      <c r="N155" s="530"/>
      <c r="O155" s="531">
        <f t="shared" si="39"/>
        <v>0</v>
      </c>
      <c r="P155" s="531">
        <f t="shared" si="40"/>
        <v>0</v>
      </c>
      <c r="Q155" s="243"/>
      <c r="R155" s="243"/>
      <c r="S155" s="243"/>
      <c r="T155" s="243"/>
      <c r="U155" s="243"/>
    </row>
    <row r="156" spans="2:21">
      <c r="C156" s="349" t="s">
        <v>75</v>
      </c>
      <c r="D156" s="294"/>
      <c r="E156" s="294">
        <f>SUM(E100:E155)</f>
        <v>723818</v>
      </c>
      <c r="F156" s="294"/>
      <c r="G156" s="294"/>
      <c r="H156" s="294">
        <f>SUM(H100:H155)</f>
        <v>2034401.5460609088</v>
      </c>
      <c r="I156" s="294">
        <f>SUM(I100:I155)</f>
        <v>2034401.5460609088</v>
      </c>
      <c r="J156" s="294">
        <f>SUM(J100:J155)</f>
        <v>0</v>
      </c>
      <c r="K156" s="294"/>
      <c r="L156" s="294"/>
      <c r="M156" s="294"/>
      <c r="N156" s="294"/>
      <c r="O156" s="294"/>
      <c r="P156" s="243"/>
      <c r="Q156" s="243"/>
      <c r="R156" s="243"/>
      <c r="S156" s="243"/>
      <c r="T156" s="243"/>
      <c r="U156" s="243"/>
    </row>
    <row r="157" spans="2:21">
      <c r="D157" s="292"/>
      <c r="E157" s="243"/>
      <c r="F157" s="243"/>
      <c r="G157" s="243"/>
      <c r="H157" s="243"/>
      <c r="I157" s="325"/>
      <c r="J157" s="325"/>
      <c r="K157" s="294"/>
      <c r="L157" s="325"/>
      <c r="M157" s="325"/>
      <c r="N157" s="325"/>
      <c r="O157" s="325"/>
      <c r="P157" s="243"/>
      <c r="Q157" s="243"/>
      <c r="R157" s="243"/>
      <c r="S157" s="243"/>
      <c r="T157" s="243"/>
      <c r="U157" s="243"/>
    </row>
    <row r="158" spans="2:21">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c r="D159" s="292"/>
      <c r="E159" s="243"/>
      <c r="F159" s="243"/>
      <c r="G159" s="243"/>
      <c r="H159" s="243"/>
      <c r="I159" s="325"/>
      <c r="J159" s="325"/>
      <c r="K159" s="294"/>
      <c r="L159" s="325"/>
      <c r="M159" s="325"/>
      <c r="N159" s="325"/>
      <c r="O159" s="325"/>
      <c r="P159" s="243"/>
      <c r="Q159" s="243"/>
      <c r="R159" s="243"/>
      <c r="S159" s="243"/>
      <c r="T159" s="243"/>
      <c r="U159" s="243"/>
    </row>
    <row r="160" spans="2:21">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76" t="s">
        <v>129</v>
      </c>
      <c r="Q163" s="243"/>
      <c r="R163" s="243"/>
      <c r="S163" s="243"/>
      <c r="T163" s="243"/>
      <c r="U163" s="243"/>
    </row>
  </sheetData>
  <phoneticPr fontId="0" type="noConversion"/>
  <conditionalFormatting sqref="C17:C29 C34:C73">
    <cfRule type="cellIs" dxfId="60" priority="2" stopIfTrue="1" operator="equal">
      <formula>$I$10</formula>
    </cfRule>
  </conditionalFormatting>
  <conditionalFormatting sqref="C100:C155">
    <cfRule type="cellIs" dxfId="59" priority="3" stopIfTrue="1" operator="equal">
      <formula>$J$93</formula>
    </cfRule>
  </conditionalFormatting>
  <conditionalFormatting sqref="C30:C33">
    <cfRule type="cellIs" dxfId="58"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U163"/>
  <sheetViews>
    <sheetView view="pageBreakPreview" topLeftCell="A7" zoomScale="85" zoomScaleNormal="100"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2 of 23</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112848.37260844371</v>
      </c>
      <c r="P5" s="243"/>
      <c r="R5" s="243"/>
      <c r="S5" s="243"/>
      <c r="T5" s="243"/>
      <c r="U5" s="243"/>
    </row>
    <row r="6" spans="1:21" ht="15.75">
      <c r="C6" s="235"/>
      <c r="D6" s="292"/>
      <c r="E6" s="243"/>
      <c r="F6" s="243"/>
      <c r="G6" s="243"/>
      <c r="H6" s="449"/>
      <c r="I6" s="449"/>
      <c r="J6" s="450"/>
      <c r="K6" s="451" t="s">
        <v>243</v>
      </c>
      <c r="L6" s="452"/>
      <c r="M6" s="278"/>
      <c r="N6" s="453">
        <f>VLOOKUP(I10,C17:I73,6)</f>
        <v>112848.37260844371</v>
      </c>
      <c r="O6" s="243"/>
      <c r="P6" s="243"/>
      <c r="R6" s="243"/>
      <c r="S6" s="243"/>
      <c r="T6" s="243"/>
      <c r="U6" s="243"/>
    </row>
    <row r="7" spans="1:21" ht="13.5" thickBot="1">
      <c r="C7" s="454" t="s">
        <v>46</v>
      </c>
      <c r="D7" s="455" t="s">
        <v>192</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197</v>
      </c>
      <c r="E9" s="647" t="s">
        <v>311</v>
      </c>
      <c r="F9" s="465"/>
      <c r="G9" s="465"/>
      <c r="H9" s="465"/>
      <c r="I9" s="466"/>
      <c r="J9" s="467"/>
      <c r="O9" s="468"/>
      <c r="P9" s="278"/>
      <c r="R9" s="243"/>
      <c r="S9" s="243"/>
      <c r="T9" s="243"/>
      <c r="U9" s="243"/>
    </row>
    <row r="10" spans="1:21">
      <c r="C10" s="469" t="s">
        <v>49</v>
      </c>
      <c r="D10" s="470">
        <v>985777.34</v>
      </c>
      <c r="E10" s="299" t="s">
        <v>50</v>
      </c>
      <c r="F10" s="468"/>
      <c r="G10" s="408"/>
      <c r="H10" s="408"/>
      <c r="I10" s="471">
        <f>+OKT.WS.F.BPU.ATRR.Projected!R101</f>
        <v>2022</v>
      </c>
      <c r="J10" s="467"/>
      <c r="K10" s="294" t="s">
        <v>51</v>
      </c>
      <c r="O10" s="278"/>
      <c r="P10" s="278"/>
      <c r="R10" s="243"/>
      <c r="S10" s="243"/>
      <c r="T10" s="243"/>
      <c r="U10" s="243"/>
    </row>
    <row r="11" spans="1:21">
      <c r="C11" s="472" t="s">
        <v>52</v>
      </c>
      <c r="D11" s="473">
        <v>2010</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6</v>
      </c>
      <c r="E12" s="472" t="s">
        <v>55</v>
      </c>
      <c r="F12" s="408"/>
      <c r="G12" s="220"/>
      <c r="H12" s="220"/>
      <c r="I12" s="476">
        <f>OKT.WS.F.BPU.ATRR.Projected!$F$79</f>
        <v>0.11475877389767174</v>
      </c>
      <c r="J12" s="578"/>
      <c r="K12" s="145" t="s">
        <v>56</v>
      </c>
      <c r="O12" s="278"/>
      <c r="P12" s="278"/>
      <c r="R12" s="243"/>
      <c r="S12" s="243"/>
      <c r="T12" s="243"/>
      <c r="U12" s="243"/>
    </row>
    <row r="13" spans="1:21">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29872.040606060604</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IF(D17=F16,"","IU")</f>
        <v>IU</v>
      </c>
      <c r="C17" s="580">
        <f>IF(D11= "","-",D11)</f>
        <v>2010</v>
      </c>
      <c r="D17" s="496">
        <v>1000000</v>
      </c>
      <c r="E17" s="497">
        <v>8649.6050543178571</v>
      </c>
      <c r="F17" s="496">
        <v>991350.39494568214</v>
      </c>
      <c r="G17" s="498">
        <v>128416.51741983544</v>
      </c>
      <c r="H17" s="499">
        <v>128416.51741983544</v>
      </c>
      <c r="I17" s="500">
        <f t="shared" ref="I17:I49" si="0">H17-G17</f>
        <v>0</v>
      </c>
      <c r="J17" s="500"/>
      <c r="K17" s="501">
        <f t="shared" ref="K17:K22" si="1">G17</f>
        <v>128416.51741983544</v>
      </c>
      <c r="L17" s="502">
        <f t="shared" ref="L17:L49" si="2">IF(K17&lt;&gt;0,+G17-K17,0)</f>
        <v>0</v>
      </c>
      <c r="M17" s="501">
        <f t="shared" ref="M17:M22" si="3">H17</f>
        <v>128416.51741983544</v>
      </c>
      <c r="N17" s="503">
        <f t="shared" ref="N17:N49" si="4">IF(M17&lt;&gt;0,+H17-M17,0)</f>
        <v>0</v>
      </c>
      <c r="O17" s="504">
        <f t="shared" ref="O17:O49" si="5">+N17-L17</f>
        <v>0</v>
      </c>
      <c r="P17" s="278"/>
      <c r="R17" s="243"/>
      <c r="S17" s="243"/>
      <c r="T17" s="243"/>
      <c r="U17" s="243"/>
    </row>
    <row r="18" spans="2:21">
      <c r="B18" s="145" t="str">
        <f>IF(D18=F17,"","IU")</f>
        <v/>
      </c>
      <c r="C18" s="495">
        <f>IF(D11="","-",+C17+1)</f>
        <v>2011</v>
      </c>
      <c r="D18" s="505">
        <v>991350.39494568214</v>
      </c>
      <c r="E18" s="498">
        <v>16985.402437265064</v>
      </c>
      <c r="F18" s="505">
        <v>974364.99250841711</v>
      </c>
      <c r="G18" s="498">
        <v>143658.66281023776</v>
      </c>
      <c r="H18" s="499">
        <v>143658.66281023776</v>
      </c>
      <c r="I18" s="500">
        <f t="shared" si="0"/>
        <v>0</v>
      </c>
      <c r="J18" s="500"/>
      <c r="K18" s="506">
        <f t="shared" si="1"/>
        <v>143658.66281023776</v>
      </c>
      <c r="L18" s="507">
        <f t="shared" si="2"/>
        <v>0</v>
      </c>
      <c r="M18" s="506">
        <f t="shared" si="3"/>
        <v>143658.66281023776</v>
      </c>
      <c r="N18" s="504">
        <f t="shared" si="4"/>
        <v>0</v>
      </c>
      <c r="O18" s="504">
        <f t="shared" si="5"/>
        <v>0</v>
      </c>
      <c r="P18" s="278"/>
      <c r="R18" s="243"/>
      <c r="S18" s="243"/>
      <c r="T18" s="243"/>
      <c r="U18" s="243"/>
    </row>
    <row r="19" spans="2:21">
      <c r="B19" s="145" t="str">
        <f t="shared" ref="B19:B73" si="6">IF(D19=F18,"","IU")</f>
        <v/>
      </c>
      <c r="C19" s="495">
        <f>IF(D11="","-",+C18+1)</f>
        <v>2012</v>
      </c>
      <c r="D19" s="505">
        <v>974364.99250841711</v>
      </c>
      <c r="E19" s="498">
        <v>17053.169324992024</v>
      </c>
      <c r="F19" s="505">
        <v>957311.82318342512</v>
      </c>
      <c r="G19" s="498">
        <v>109574.51640694846</v>
      </c>
      <c r="H19" s="499">
        <v>109574.51640694846</v>
      </c>
      <c r="I19" s="500">
        <v>0</v>
      </c>
      <c r="J19" s="500"/>
      <c r="K19" s="506">
        <f t="shared" si="1"/>
        <v>109574.51640694846</v>
      </c>
      <c r="L19" s="504">
        <f t="shared" si="2"/>
        <v>0</v>
      </c>
      <c r="M19" s="506">
        <f t="shared" si="3"/>
        <v>109574.51640694846</v>
      </c>
      <c r="N19" s="504">
        <f t="shared" si="4"/>
        <v>0</v>
      </c>
      <c r="O19" s="504">
        <f t="shared" si="5"/>
        <v>0</v>
      </c>
      <c r="P19" s="278"/>
      <c r="R19" s="243"/>
      <c r="S19" s="243"/>
      <c r="T19" s="243"/>
      <c r="U19" s="243"/>
    </row>
    <row r="20" spans="2:21">
      <c r="B20" s="145" t="str">
        <f t="shared" si="6"/>
        <v>IU</v>
      </c>
      <c r="C20" s="495">
        <f>IF(D11="","-",+C19+1)</f>
        <v>2013</v>
      </c>
      <c r="D20" s="505">
        <v>943089.16318342497</v>
      </c>
      <c r="E20" s="498">
        <v>17053.169324992024</v>
      </c>
      <c r="F20" s="505">
        <v>926035.99385843298</v>
      </c>
      <c r="G20" s="498">
        <v>118214.46332464613</v>
      </c>
      <c r="H20" s="499">
        <v>118214.46332464613</v>
      </c>
      <c r="I20" s="500">
        <v>0</v>
      </c>
      <c r="J20" s="500"/>
      <c r="K20" s="506">
        <f t="shared" si="1"/>
        <v>118214.46332464613</v>
      </c>
      <c r="L20" s="504">
        <f t="shared" ref="L20:L25" si="7">IF(K20&lt;&gt;0,+G20-K20,0)</f>
        <v>0</v>
      </c>
      <c r="M20" s="506">
        <f t="shared" si="3"/>
        <v>118214.46332464613</v>
      </c>
      <c r="N20" s="504">
        <f>IF(M20&lt;&gt;0,+H20-M20,0)</f>
        <v>0</v>
      </c>
      <c r="O20" s="504">
        <f>+N20-L20</f>
        <v>0</v>
      </c>
      <c r="P20" s="278"/>
      <c r="R20" s="243"/>
      <c r="S20" s="243"/>
      <c r="T20" s="243"/>
      <c r="U20" s="243"/>
    </row>
    <row r="21" spans="2:21">
      <c r="B21" s="145" t="str">
        <f t="shared" si="6"/>
        <v/>
      </c>
      <c r="C21" s="495">
        <f>IF(D12="","-",+C20+1)</f>
        <v>2014</v>
      </c>
      <c r="D21" s="505">
        <v>926035.99385843298</v>
      </c>
      <c r="E21" s="498">
        <v>17053.169324992024</v>
      </c>
      <c r="F21" s="505">
        <v>908982.82453344099</v>
      </c>
      <c r="G21" s="498">
        <v>117066.12014630614</v>
      </c>
      <c r="H21" s="499">
        <v>117066.12014630614</v>
      </c>
      <c r="I21" s="500">
        <v>0</v>
      </c>
      <c r="J21" s="500"/>
      <c r="K21" s="506">
        <f t="shared" si="1"/>
        <v>117066.12014630614</v>
      </c>
      <c r="L21" s="504">
        <f t="shared" si="7"/>
        <v>0</v>
      </c>
      <c r="M21" s="506">
        <f t="shared" si="3"/>
        <v>117066.12014630614</v>
      </c>
      <c r="N21" s="504">
        <f>IF(M21&lt;&gt;0,+H21-M21,0)</f>
        <v>0</v>
      </c>
      <c r="O21" s="504">
        <f>+N21-L21</f>
        <v>0</v>
      </c>
      <c r="P21" s="278"/>
      <c r="R21" s="243"/>
      <c r="S21" s="243"/>
      <c r="T21" s="243"/>
      <c r="U21" s="243"/>
    </row>
    <row r="22" spans="2:21">
      <c r="B22" s="145" t="str">
        <f t="shared" si="6"/>
        <v/>
      </c>
      <c r="C22" s="495">
        <f>IF(D11="","-",+C21+1)</f>
        <v>2015</v>
      </c>
      <c r="D22" s="505">
        <v>908982.82453344099</v>
      </c>
      <c r="E22" s="498">
        <v>17053.169324992024</v>
      </c>
      <c r="F22" s="505">
        <v>891929.655208449</v>
      </c>
      <c r="G22" s="498">
        <v>108980.29004264352</v>
      </c>
      <c r="H22" s="499">
        <v>108980.29004264352</v>
      </c>
      <c r="I22" s="500">
        <v>0</v>
      </c>
      <c r="J22" s="500"/>
      <c r="K22" s="506">
        <f t="shared" si="1"/>
        <v>108980.29004264352</v>
      </c>
      <c r="L22" s="504">
        <f t="shared" si="7"/>
        <v>0</v>
      </c>
      <c r="M22" s="506">
        <f t="shared" si="3"/>
        <v>108980.29004264352</v>
      </c>
      <c r="N22" s="504">
        <f>IF(M22&lt;&gt;0,+H22-M22,0)</f>
        <v>0</v>
      </c>
      <c r="O22" s="504">
        <f>+N22-L22</f>
        <v>0</v>
      </c>
      <c r="P22" s="278"/>
      <c r="R22" s="243"/>
      <c r="S22" s="243"/>
      <c r="T22" s="243"/>
      <c r="U22" s="243"/>
    </row>
    <row r="23" spans="2:21">
      <c r="B23" s="145" t="str">
        <f t="shared" si="6"/>
        <v/>
      </c>
      <c r="C23" s="495">
        <f>IF(D11="","-",+C22+1)</f>
        <v>2016</v>
      </c>
      <c r="D23" s="505">
        <v>891929.655208449</v>
      </c>
      <c r="E23" s="498">
        <v>20483.915040786436</v>
      </c>
      <c r="F23" s="505">
        <v>871445.7401676625</v>
      </c>
      <c r="G23" s="498">
        <v>114495.80398935861</v>
      </c>
      <c r="H23" s="499">
        <v>114495.80398935861</v>
      </c>
      <c r="I23" s="500">
        <f t="shared" si="0"/>
        <v>0</v>
      </c>
      <c r="J23" s="500"/>
      <c r="K23" s="506">
        <f t="shared" ref="K23:K28" si="8">G23</f>
        <v>114495.80398935861</v>
      </c>
      <c r="L23" s="504">
        <f t="shared" si="7"/>
        <v>0</v>
      </c>
      <c r="M23" s="506">
        <f t="shared" ref="M23:M28" si="9">H23</f>
        <v>114495.80398935861</v>
      </c>
      <c r="N23" s="504">
        <f t="shared" si="4"/>
        <v>0</v>
      </c>
      <c r="O23" s="504">
        <f t="shared" si="5"/>
        <v>0</v>
      </c>
      <c r="P23" s="278"/>
      <c r="R23" s="243"/>
      <c r="S23" s="243"/>
      <c r="T23" s="243"/>
      <c r="U23" s="243"/>
    </row>
    <row r="24" spans="2:21">
      <c r="B24" s="145" t="str">
        <f t="shared" si="6"/>
        <v/>
      </c>
      <c r="C24" s="495">
        <f>IF(D11="","-",+C23+1)</f>
        <v>2017</v>
      </c>
      <c r="D24" s="505">
        <v>871445.7401676625</v>
      </c>
      <c r="E24" s="498">
        <v>19382.334130313378</v>
      </c>
      <c r="F24" s="505">
        <v>852063.40603734914</v>
      </c>
      <c r="G24" s="498">
        <v>114123.60807449113</v>
      </c>
      <c r="H24" s="499">
        <v>114123.60807449113</v>
      </c>
      <c r="I24" s="500">
        <f t="shared" si="0"/>
        <v>0</v>
      </c>
      <c r="J24" s="500"/>
      <c r="K24" s="506">
        <f t="shared" si="8"/>
        <v>114123.60807449113</v>
      </c>
      <c r="L24" s="504">
        <f t="shared" si="7"/>
        <v>0</v>
      </c>
      <c r="M24" s="506">
        <f t="shared" si="9"/>
        <v>114123.60807449113</v>
      </c>
      <c r="N24" s="504">
        <f>IF(M24&lt;&gt;0,+H24-M24,0)</f>
        <v>0</v>
      </c>
      <c r="O24" s="504">
        <f>+N24-L24</f>
        <v>0</v>
      </c>
      <c r="P24" s="278"/>
      <c r="R24" s="243"/>
      <c r="S24" s="243"/>
      <c r="T24" s="243"/>
      <c r="U24" s="243"/>
    </row>
    <row r="25" spans="2:21">
      <c r="B25" s="145" t="str">
        <f t="shared" si="6"/>
        <v/>
      </c>
      <c r="C25" s="495">
        <f>IF(D11="","-",+C24+1)</f>
        <v>2018</v>
      </c>
      <c r="D25" s="505">
        <v>852063.40603734914</v>
      </c>
      <c r="E25" s="498">
        <v>24175.777145778226</v>
      </c>
      <c r="F25" s="505">
        <v>827887.62889157096</v>
      </c>
      <c r="G25" s="498">
        <v>109537.1548251974</v>
      </c>
      <c r="H25" s="499">
        <v>109537.1548251974</v>
      </c>
      <c r="I25" s="500">
        <f t="shared" si="0"/>
        <v>0</v>
      </c>
      <c r="J25" s="500"/>
      <c r="K25" s="506">
        <f t="shared" si="8"/>
        <v>109537.1548251974</v>
      </c>
      <c r="L25" s="504">
        <f t="shared" si="7"/>
        <v>0</v>
      </c>
      <c r="M25" s="506">
        <f t="shared" si="9"/>
        <v>109537.1548251974</v>
      </c>
      <c r="N25" s="504">
        <f>IF(M25&lt;&gt;0,+H25-M25,0)</f>
        <v>0</v>
      </c>
      <c r="O25" s="504">
        <f>+N25-L25</f>
        <v>0</v>
      </c>
      <c r="P25" s="278"/>
      <c r="R25" s="243"/>
      <c r="S25" s="243"/>
      <c r="T25" s="243"/>
      <c r="U25" s="243"/>
    </row>
    <row r="26" spans="2:21">
      <c r="B26" s="145" t="str">
        <f t="shared" si="6"/>
        <v/>
      </c>
      <c r="C26" s="495">
        <f>IF(D11="","-",+C25+1)</f>
        <v>2019</v>
      </c>
      <c r="D26" s="505">
        <v>827887.62889157096</v>
      </c>
      <c r="E26" s="498">
        <v>29237.019226400858</v>
      </c>
      <c r="F26" s="505">
        <v>798650.60966517008</v>
      </c>
      <c r="G26" s="498">
        <v>113764.92954880837</v>
      </c>
      <c r="H26" s="499">
        <v>113764.92954880837</v>
      </c>
      <c r="I26" s="500">
        <f t="shared" si="0"/>
        <v>0</v>
      </c>
      <c r="J26" s="500"/>
      <c r="K26" s="506">
        <f t="shared" si="8"/>
        <v>113764.92954880837</v>
      </c>
      <c r="L26" s="504">
        <f t="shared" ref="L26" si="10">IF(K26&lt;&gt;0,+G26-K26,0)</f>
        <v>0</v>
      </c>
      <c r="M26" s="506">
        <f t="shared" si="9"/>
        <v>113764.92954880837</v>
      </c>
      <c r="N26" s="504">
        <f>IF(M26&lt;&gt;0,+H26-M26,0)</f>
        <v>0</v>
      </c>
      <c r="O26" s="504">
        <f>+N26-L26</f>
        <v>0</v>
      </c>
      <c r="P26" s="278"/>
      <c r="R26" s="243"/>
      <c r="S26" s="243"/>
      <c r="T26" s="243"/>
      <c r="U26" s="243"/>
    </row>
    <row r="27" spans="2:21">
      <c r="B27" s="145" t="str">
        <f t="shared" si="6"/>
        <v>IU</v>
      </c>
      <c r="C27" s="495">
        <f>IF(D11="","-",+C26+1)</f>
        <v>2020</v>
      </c>
      <c r="D27" s="505">
        <v>803711.85174579278</v>
      </c>
      <c r="E27" s="498">
        <v>28865.315662076879</v>
      </c>
      <c r="F27" s="505">
        <v>774846.53608371585</v>
      </c>
      <c r="G27" s="498">
        <v>111686.32809259798</v>
      </c>
      <c r="H27" s="499">
        <v>111686.32809259798</v>
      </c>
      <c r="I27" s="500">
        <f t="shared" si="0"/>
        <v>0</v>
      </c>
      <c r="J27" s="500"/>
      <c r="K27" s="506">
        <f t="shared" si="8"/>
        <v>111686.32809259798</v>
      </c>
      <c r="L27" s="504">
        <f t="shared" ref="L27" si="11">IF(K27&lt;&gt;0,+G27-K27,0)</f>
        <v>0</v>
      </c>
      <c r="M27" s="506">
        <f t="shared" si="9"/>
        <v>111686.32809259798</v>
      </c>
      <c r="N27" s="504">
        <f>IF(M27&lt;&gt;0,+H27-M27,0)</f>
        <v>0</v>
      </c>
      <c r="O27" s="504">
        <f>+N27-L27</f>
        <v>0</v>
      </c>
      <c r="P27" s="278"/>
      <c r="R27" s="243"/>
      <c r="S27" s="243"/>
      <c r="T27" s="243"/>
      <c r="U27" s="243"/>
    </row>
    <row r="28" spans="2:21">
      <c r="B28" s="145" t="str">
        <f t="shared" si="6"/>
        <v>IU</v>
      </c>
      <c r="C28" s="495">
        <f>IF(D11="","-",+C27+1)</f>
        <v>2021</v>
      </c>
      <c r="D28" s="505">
        <v>769785.29400309315</v>
      </c>
      <c r="E28" s="498">
        <v>31799.269032258064</v>
      </c>
      <c r="F28" s="505">
        <v>737986.02497083507</v>
      </c>
      <c r="G28" s="498">
        <v>113358.4397541738</v>
      </c>
      <c r="H28" s="499">
        <v>113358.4397541738</v>
      </c>
      <c r="I28" s="500">
        <f t="shared" si="0"/>
        <v>0</v>
      </c>
      <c r="J28" s="500"/>
      <c r="K28" s="506">
        <f t="shared" si="8"/>
        <v>113358.4397541738</v>
      </c>
      <c r="L28" s="504">
        <f t="shared" ref="L28" si="12">IF(K28&lt;&gt;0,+G28-K28,0)</f>
        <v>0</v>
      </c>
      <c r="M28" s="506">
        <f t="shared" si="9"/>
        <v>113358.4397541738</v>
      </c>
      <c r="N28" s="504">
        <f>IF(M28&lt;&gt;0,+H28-M28,0)</f>
        <v>0</v>
      </c>
      <c r="O28" s="504">
        <f>+N28-L28</f>
        <v>0</v>
      </c>
      <c r="P28" s="278"/>
      <c r="R28" s="243"/>
      <c r="S28" s="243"/>
      <c r="T28" s="243"/>
      <c r="U28" s="243"/>
    </row>
    <row r="29" spans="2:21">
      <c r="B29" s="145" t="str">
        <f t="shared" si="6"/>
        <v/>
      </c>
      <c r="C29" s="495">
        <f>IF(D11="","-",+C28+1)</f>
        <v>2022</v>
      </c>
      <c r="D29" s="508">
        <f>IF(F28+SUM(E$17:E28)=D$10,F28,D$10-SUM(E$17:E28))</f>
        <v>737986.02497083507</v>
      </c>
      <c r="E29" s="509">
        <f>IF(+I14&lt;F28,I14,D29)</f>
        <v>29872.040606060604</v>
      </c>
      <c r="F29" s="510">
        <f t="shared" ref="F29:F49" si="13">+D29-E29</f>
        <v>708113.98436477443</v>
      </c>
      <c r="G29" s="511">
        <f t="shared" ref="G29:G73" si="14">(D29+F29)/2*I$12+E29</f>
        <v>112848.37260844371</v>
      </c>
      <c r="H29" s="477">
        <f t="shared" ref="H29:H73" si="15">+(D29+F29)/2*I$13+E29</f>
        <v>112848.37260844371</v>
      </c>
      <c r="I29" s="500">
        <f t="shared" si="0"/>
        <v>0</v>
      </c>
      <c r="J29" s="500"/>
      <c r="K29" s="512"/>
      <c r="L29" s="504">
        <f t="shared" si="2"/>
        <v>0</v>
      </c>
      <c r="M29" s="512"/>
      <c r="N29" s="504">
        <f t="shared" si="4"/>
        <v>0</v>
      </c>
      <c r="O29" s="504">
        <f t="shared" si="5"/>
        <v>0</v>
      </c>
      <c r="P29" s="278"/>
      <c r="R29" s="243"/>
      <c r="S29" s="243"/>
      <c r="T29" s="243"/>
      <c r="U29" s="243"/>
    </row>
    <row r="30" spans="2:21">
      <c r="B30" s="145" t="str">
        <f t="shared" si="6"/>
        <v/>
      </c>
      <c r="C30" s="495">
        <f>IF(D11="","-",+C29+1)</f>
        <v>2023</v>
      </c>
      <c r="D30" s="508">
        <f>IF(F29+SUM(E$17:E29)=D$10,F29,D$10-SUM(E$17:E29))</f>
        <v>708113.98436477443</v>
      </c>
      <c r="E30" s="509">
        <f>IF(+I14&lt;F29,I14,D30)</f>
        <v>29872.040606060604</v>
      </c>
      <c r="F30" s="510">
        <f t="shared" si="13"/>
        <v>678241.94375871378</v>
      </c>
      <c r="G30" s="511">
        <f t="shared" si="14"/>
        <v>109420.29385467072</v>
      </c>
      <c r="H30" s="477">
        <f t="shared" si="15"/>
        <v>109420.29385467072</v>
      </c>
      <c r="I30" s="500">
        <f t="shared" si="0"/>
        <v>0</v>
      </c>
      <c r="J30" s="500"/>
      <c r="K30" s="512"/>
      <c r="L30" s="504">
        <f t="shared" si="2"/>
        <v>0</v>
      </c>
      <c r="M30" s="512"/>
      <c r="N30" s="504">
        <f t="shared" si="4"/>
        <v>0</v>
      </c>
      <c r="O30" s="504">
        <f t="shared" si="5"/>
        <v>0</v>
      </c>
      <c r="P30" s="278"/>
      <c r="R30" s="243"/>
      <c r="S30" s="243"/>
      <c r="T30" s="243"/>
      <c r="U30" s="243"/>
    </row>
    <row r="31" spans="2:21">
      <c r="B31" s="145" t="str">
        <f t="shared" si="6"/>
        <v/>
      </c>
      <c r="C31" s="495">
        <f>IF(D11="","-",+C30+1)</f>
        <v>2024</v>
      </c>
      <c r="D31" s="508">
        <f>IF(F30+SUM(E$17:E30)=D$10,F30,D$10-SUM(E$17:E30))</f>
        <v>678241.94375871378</v>
      </c>
      <c r="E31" s="509">
        <f>IF(+I14&lt;F30,I14,D31)</f>
        <v>29872.040606060604</v>
      </c>
      <c r="F31" s="510">
        <f t="shared" si="13"/>
        <v>648369.90315265313</v>
      </c>
      <c r="G31" s="511">
        <f t="shared" si="14"/>
        <v>105992.21510089774</v>
      </c>
      <c r="H31" s="477">
        <f t="shared" si="15"/>
        <v>105992.21510089774</v>
      </c>
      <c r="I31" s="500">
        <f t="shared" si="0"/>
        <v>0</v>
      </c>
      <c r="J31" s="500"/>
      <c r="K31" s="512"/>
      <c r="L31" s="504">
        <f t="shared" si="2"/>
        <v>0</v>
      </c>
      <c r="M31" s="512"/>
      <c r="N31" s="504">
        <f t="shared" si="4"/>
        <v>0</v>
      </c>
      <c r="O31" s="504">
        <f t="shared" si="5"/>
        <v>0</v>
      </c>
      <c r="P31" s="278"/>
      <c r="Q31" s="220"/>
      <c r="R31" s="278"/>
      <c r="S31" s="278"/>
      <c r="T31" s="278"/>
      <c r="U31" s="243"/>
    </row>
    <row r="32" spans="2:21">
      <c r="B32" s="145" t="str">
        <f t="shared" si="6"/>
        <v/>
      </c>
      <c r="C32" s="495">
        <f>IF(D12="","-",+C31+1)</f>
        <v>2025</v>
      </c>
      <c r="D32" s="508">
        <f>IF(F31+SUM(E$17:E31)=D$10,F31,D$10-SUM(E$17:E31))</f>
        <v>648369.90315265313</v>
      </c>
      <c r="E32" s="509">
        <f>IF(+I14&lt;F31,I14,D32)</f>
        <v>29872.040606060604</v>
      </c>
      <c r="F32" s="510">
        <f>+D32-E32</f>
        <v>618497.86254659249</v>
      </c>
      <c r="G32" s="511">
        <f t="shared" si="14"/>
        <v>102564.13634712475</v>
      </c>
      <c r="H32" s="477">
        <f t="shared" si="15"/>
        <v>102564.13634712475</v>
      </c>
      <c r="I32" s="500">
        <f>H32-G32</f>
        <v>0</v>
      </c>
      <c r="J32" s="500"/>
      <c r="K32" s="512"/>
      <c r="L32" s="504"/>
      <c r="M32" s="512"/>
      <c r="N32" s="504"/>
      <c r="O32" s="504"/>
      <c r="P32" s="278"/>
      <c r="Q32" s="220"/>
      <c r="R32" s="278"/>
      <c r="S32" s="278"/>
      <c r="T32" s="278"/>
      <c r="U32" s="243"/>
    </row>
    <row r="33" spans="2:21">
      <c r="B33" s="145" t="str">
        <f t="shared" si="6"/>
        <v/>
      </c>
      <c r="C33" s="495">
        <f>IF(D13="","-",+C32+1)</f>
        <v>2026</v>
      </c>
      <c r="D33" s="508">
        <f>IF(F32+SUM(E$17:E32)=D$10,F32,D$10-SUM(E$17:E32))</f>
        <v>618497.86254659249</v>
      </c>
      <c r="E33" s="509">
        <f>IF(+I14&lt;F31,I14,D33)</f>
        <v>29872.040606060604</v>
      </c>
      <c r="F33" s="510">
        <f t="shared" si="13"/>
        <v>588625.82194053184</v>
      </c>
      <c r="G33" s="511">
        <f t="shared" si="14"/>
        <v>99136.057593351783</v>
      </c>
      <c r="H33" s="477">
        <f t="shared" si="15"/>
        <v>99136.057593351783</v>
      </c>
      <c r="I33" s="500">
        <f t="shared" si="0"/>
        <v>0</v>
      </c>
      <c r="J33" s="500"/>
      <c r="K33" s="512"/>
      <c r="L33" s="504">
        <f t="shared" si="2"/>
        <v>0</v>
      </c>
      <c r="M33" s="512"/>
      <c r="N33" s="504">
        <f t="shared" si="4"/>
        <v>0</v>
      </c>
      <c r="O33" s="504">
        <f t="shared" si="5"/>
        <v>0</v>
      </c>
      <c r="P33" s="278"/>
      <c r="R33" s="243"/>
      <c r="S33" s="243"/>
      <c r="T33" s="243"/>
      <c r="U33" s="243"/>
    </row>
    <row r="34" spans="2:21">
      <c r="B34" s="145" t="str">
        <f t="shared" si="6"/>
        <v/>
      </c>
      <c r="C34" s="513">
        <f>IF(D11="","-",+C33+1)</f>
        <v>2027</v>
      </c>
      <c r="D34" s="581">
        <f>IF(F33+SUM(E$17:E33)=D$10,F33,D$10-SUM(E$17:E33))</f>
        <v>588625.82194053184</v>
      </c>
      <c r="E34" s="515">
        <f>IF(+I14&lt;F33,I14,D34)</f>
        <v>29872.040606060604</v>
      </c>
      <c r="F34" s="516">
        <f t="shared" si="13"/>
        <v>558753.78133447119</v>
      </c>
      <c r="G34" s="517">
        <f t="shared" si="14"/>
        <v>95707.978839578776</v>
      </c>
      <c r="H34" s="518">
        <f t="shared" si="15"/>
        <v>95707.978839578776</v>
      </c>
      <c r="I34" s="519">
        <f t="shared" si="0"/>
        <v>0</v>
      </c>
      <c r="J34" s="519"/>
      <c r="K34" s="520"/>
      <c r="L34" s="521">
        <f t="shared" si="2"/>
        <v>0</v>
      </c>
      <c r="M34" s="520"/>
      <c r="N34" s="521">
        <f t="shared" si="4"/>
        <v>0</v>
      </c>
      <c r="O34" s="521">
        <f t="shared" si="5"/>
        <v>0</v>
      </c>
      <c r="P34" s="522"/>
      <c r="Q34" s="216"/>
      <c r="R34" s="522"/>
      <c r="S34" s="522"/>
      <c r="T34" s="522"/>
      <c r="U34" s="243"/>
    </row>
    <row r="35" spans="2:21">
      <c r="B35" s="145" t="str">
        <f t="shared" si="6"/>
        <v/>
      </c>
      <c r="C35" s="495">
        <f>IF(D11="","-",+C34+1)</f>
        <v>2028</v>
      </c>
      <c r="D35" s="508">
        <f>IF(F34+SUM(E$17:E34)=D$10,F34,D$10-SUM(E$17:E34))</f>
        <v>558753.78133447119</v>
      </c>
      <c r="E35" s="509">
        <f>IF(+I14&lt;F34,I14,D35)</f>
        <v>29872.040606060604</v>
      </c>
      <c r="F35" s="510">
        <f t="shared" si="13"/>
        <v>528881.74072841054</v>
      </c>
      <c r="G35" s="511">
        <f t="shared" si="14"/>
        <v>92279.900085805813</v>
      </c>
      <c r="H35" s="477">
        <f t="shared" si="15"/>
        <v>92279.900085805813</v>
      </c>
      <c r="I35" s="500">
        <f t="shared" si="0"/>
        <v>0</v>
      </c>
      <c r="J35" s="500"/>
      <c r="K35" s="512"/>
      <c r="L35" s="504">
        <f t="shared" si="2"/>
        <v>0</v>
      </c>
      <c r="M35" s="512"/>
      <c r="N35" s="504">
        <f t="shared" si="4"/>
        <v>0</v>
      </c>
      <c r="O35" s="504">
        <f t="shared" si="5"/>
        <v>0</v>
      </c>
      <c r="P35" s="278"/>
      <c r="R35" s="243"/>
      <c r="S35" s="243"/>
      <c r="T35" s="243"/>
      <c r="U35" s="243"/>
    </row>
    <row r="36" spans="2:21">
      <c r="B36" s="145" t="str">
        <f t="shared" si="6"/>
        <v/>
      </c>
      <c r="C36" s="495">
        <f>IF(D11="","-",+C35+1)</f>
        <v>2029</v>
      </c>
      <c r="D36" s="508">
        <f>IF(F35+SUM(E$17:E35)=D$10,F35,D$10-SUM(E$17:E35))</f>
        <v>528881.74072841054</v>
      </c>
      <c r="E36" s="509">
        <f>IF(+I14&lt;F35,I14,D36)</f>
        <v>29872.040606060604</v>
      </c>
      <c r="F36" s="510">
        <f t="shared" si="13"/>
        <v>499009.70012234995</v>
      </c>
      <c r="G36" s="511">
        <f t="shared" si="14"/>
        <v>88851.821332032821</v>
      </c>
      <c r="H36" s="477">
        <f t="shared" si="15"/>
        <v>88851.821332032821</v>
      </c>
      <c r="I36" s="500">
        <f t="shared" si="0"/>
        <v>0</v>
      </c>
      <c r="J36" s="500"/>
      <c r="K36" s="512"/>
      <c r="L36" s="504">
        <f t="shared" si="2"/>
        <v>0</v>
      </c>
      <c r="M36" s="512"/>
      <c r="N36" s="504">
        <f t="shared" si="4"/>
        <v>0</v>
      </c>
      <c r="O36" s="504">
        <f t="shared" si="5"/>
        <v>0</v>
      </c>
      <c r="P36" s="278"/>
      <c r="R36" s="243"/>
      <c r="S36" s="243"/>
      <c r="T36" s="243"/>
      <c r="U36" s="243"/>
    </row>
    <row r="37" spans="2:21">
      <c r="B37" s="145" t="str">
        <f t="shared" si="6"/>
        <v/>
      </c>
      <c r="C37" s="495">
        <f>IF(D11="","-",+C36+1)</f>
        <v>2030</v>
      </c>
      <c r="D37" s="508">
        <f>IF(F36+SUM(E$17:E36)=D$10,F36,D$10-SUM(E$17:E36))</f>
        <v>499009.70012234995</v>
      </c>
      <c r="E37" s="509">
        <f>IF(+I14&lt;F36,I14,D37)</f>
        <v>29872.040606060604</v>
      </c>
      <c r="F37" s="510">
        <f t="shared" si="13"/>
        <v>469137.65951628936</v>
      </c>
      <c r="G37" s="511">
        <f t="shared" si="14"/>
        <v>85423.742578259844</v>
      </c>
      <c r="H37" s="477">
        <f t="shared" si="15"/>
        <v>85423.742578259844</v>
      </c>
      <c r="I37" s="500">
        <f t="shared" si="0"/>
        <v>0</v>
      </c>
      <c r="J37" s="500"/>
      <c r="K37" s="512"/>
      <c r="L37" s="504">
        <f t="shared" si="2"/>
        <v>0</v>
      </c>
      <c r="M37" s="512"/>
      <c r="N37" s="504">
        <f t="shared" si="4"/>
        <v>0</v>
      </c>
      <c r="O37" s="504">
        <f t="shared" si="5"/>
        <v>0</v>
      </c>
      <c r="P37" s="278"/>
      <c r="R37" s="243"/>
      <c r="S37" s="243"/>
      <c r="T37" s="243"/>
      <c r="U37" s="243"/>
    </row>
    <row r="38" spans="2:21">
      <c r="B38" s="145" t="str">
        <f t="shared" si="6"/>
        <v/>
      </c>
      <c r="C38" s="495">
        <f>IF(D11="","-",+C37+1)</f>
        <v>2031</v>
      </c>
      <c r="D38" s="508">
        <f>IF(F37+SUM(E$17:E37)=D$10,F37,D$10-SUM(E$17:E37))</f>
        <v>469137.65951628936</v>
      </c>
      <c r="E38" s="509">
        <f>IF(+I14&lt;F37,I14,D38)</f>
        <v>29872.040606060604</v>
      </c>
      <c r="F38" s="510">
        <f t="shared" si="13"/>
        <v>439265.61891022878</v>
      </c>
      <c r="G38" s="511">
        <f t="shared" si="14"/>
        <v>81995.663824486881</v>
      </c>
      <c r="H38" s="477">
        <f t="shared" si="15"/>
        <v>81995.663824486881</v>
      </c>
      <c r="I38" s="500">
        <f t="shared" si="0"/>
        <v>0</v>
      </c>
      <c r="J38" s="500"/>
      <c r="K38" s="512"/>
      <c r="L38" s="504">
        <f t="shared" si="2"/>
        <v>0</v>
      </c>
      <c r="M38" s="512"/>
      <c r="N38" s="504">
        <f t="shared" si="4"/>
        <v>0</v>
      </c>
      <c r="O38" s="504">
        <f t="shared" si="5"/>
        <v>0</v>
      </c>
      <c r="P38" s="278"/>
      <c r="R38" s="243"/>
      <c r="S38" s="243"/>
      <c r="T38" s="243"/>
      <c r="U38" s="243"/>
    </row>
    <row r="39" spans="2:21">
      <c r="B39" s="145" t="str">
        <f t="shared" si="6"/>
        <v/>
      </c>
      <c r="C39" s="495">
        <f>IF(D11="","-",+C38+1)</f>
        <v>2032</v>
      </c>
      <c r="D39" s="508">
        <f>IF(F38+SUM(E$17:E38)=D$10,F38,D$10-SUM(E$17:E38))</f>
        <v>439265.61891022878</v>
      </c>
      <c r="E39" s="509">
        <f>IF(+I14&lt;F38,I14,D39)</f>
        <v>29872.040606060604</v>
      </c>
      <c r="F39" s="510">
        <f t="shared" si="13"/>
        <v>409393.57830416819</v>
      </c>
      <c r="G39" s="511">
        <f t="shared" si="14"/>
        <v>78567.585070713889</v>
      </c>
      <c r="H39" s="477">
        <f t="shared" si="15"/>
        <v>78567.585070713889</v>
      </c>
      <c r="I39" s="500">
        <f t="shared" si="0"/>
        <v>0</v>
      </c>
      <c r="J39" s="500"/>
      <c r="K39" s="512"/>
      <c r="L39" s="504">
        <f t="shared" si="2"/>
        <v>0</v>
      </c>
      <c r="M39" s="512"/>
      <c r="N39" s="504">
        <f t="shared" si="4"/>
        <v>0</v>
      </c>
      <c r="O39" s="504">
        <f t="shared" si="5"/>
        <v>0</v>
      </c>
      <c r="P39" s="278"/>
      <c r="R39" s="243"/>
      <c r="S39" s="243"/>
      <c r="T39" s="243"/>
      <c r="U39" s="243"/>
    </row>
    <row r="40" spans="2:21">
      <c r="B40" s="145" t="str">
        <f t="shared" si="6"/>
        <v/>
      </c>
      <c r="C40" s="495">
        <f>IF(D11="","-",+C39+1)</f>
        <v>2033</v>
      </c>
      <c r="D40" s="508">
        <f>IF(F39+SUM(E$17:E39)=D$10,F39,D$10-SUM(E$17:E39))</f>
        <v>409393.57830416819</v>
      </c>
      <c r="E40" s="509">
        <f>IF(+I14&lt;F39,I14,D40)</f>
        <v>29872.040606060604</v>
      </c>
      <c r="F40" s="510">
        <f t="shared" si="13"/>
        <v>379521.5376981076</v>
      </c>
      <c r="G40" s="511">
        <f t="shared" si="14"/>
        <v>75139.506316940926</v>
      </c>
      <c r="H40" s="477">
        <f t="shared" si="15"/>
        <v>75139.506316940926</v>
      </c>
      <c r="I40" s="500">
        <f t="shared" si="0"/>
        <v>0</v>
      </c>
      <c r="J40" s="500"/>
      <c r="K40" s="512"/>
      <c r="L40" s="504">
        <f t="shared" si="2"/>
        <v>0</v>
      </c>
      <c r="M40" s="512"/>
      <c r="N40" s="504">
        <f t="shared" si="4"/>
        <v>0</v>
      </c>
      <c r="O40" s="504">
        <f t="shared" si="5"/>
        <v>0</v>
      </c>
      <c r="P40" s="278"/>
      <c r="R40" s="243"/>
      <c r="S40" s="243"/>
      <c r="T40" s="243"/>
      <c r="U40" s="243"/>
    </row>
    <row r="41" spans="2:21">
      <c r="B41" s="145" t="str">
        <f t="shared" si="6"/>
        <v/>
      </c>
      <c r="C41" s="495">
        <f>IF(D12="","-",+C40+1)</f>
        <v>2034</v>
      </c>
      <c r="D41" s="508">
        <f>IF(F40+SUM(E$17:E40)=D$10,F40,D$10-SUM(E$17:E40))</f>
        <v>379521.5376981076</v>
      </c>
      <c r="E41" s="509">
        <f>IF(+I14&lt;F40,I14,D41)</f>
        <v>29872.040606060604</v>
      </c>
      <c r="F41" s="510">
        <f t="shared" si="13"/>
        <v>349649.49709204701</v>
      </c>
      <c r="G41" s="511">
        <f t="shared" si="14"/>
        <v>71711.427563167934</v>
      </c>
      <c r="H41" s="477">
        <f t="shared" si="15"/>
        <v>71711.427563167934</v>
      </c>
      <c r="I41" s="500">
        <f t="shared" si="0"/>
        <v>0</v>
      </c>
      <c r="J41" s="500"/>
      <c r="K41" s="512"/>
      <c r="L41" s="504">
        <f t="shared" si="2"/>
        <v>0</v>
      </c>
      <c r="M41" s="512"/>
      <c r="N41" s="504">
        <f t="shared" si="4"/>
        <v>0</v>
      </c>
      <c r="O41" s="504">
        <f t="shared" si="5"/>
        <v>0</v>
      </c>
      <c r="P41" s="278"/>
      <c r="R41" s="243"/>
      <c r="S41" s="243"/>
      <c r="T41" s="243"/>
      <c r="U41" s="243"/>
    </row>
    <row r="42" spans="2:21">
      <c r="B42" s="145" t="str">
        <f t="shared" si="6"/>
        <v/>
      </c>
      <c r="C42" s="495">
        <f>IF(D13="","-",+C41+1)</f>
        <v>2035</v>
      </c>
      <c r="D42" s="508">
        <f>IF(F41+SUM(E$17:E41)=D$10,F41,D$10-SUM(E$17:E41))</f>
        <v>349649.49709204701</v>
      </c>
      <c r="E42" s="509">
        <f>IF(+I14&lt;F41,I14,D42)</f>
        <v>29872.040606060604</v>
      </c>
      <c r="F42" s="510">
        <f t="shared" si="13"/>
        <v>319777.45648598642</v>
      </c>
      <c r="G42" s="511">
        <f t="shared" si="14"/>
        <v>68283.348809394971</v>
      </c>
      <c r="H42" s="477">
        <f t="shared" si="15"/>
        <v>68283.348809394971</v>
      </c>
      <c r="I42" s="500">
        <f t="shared" si="0"/>
        <v>0</v>
      </c>
      <c r="J42" s="500"/>
      <c r="K42" s="512"/>
      <c r="L42" s="504">
        <f t="shared" si="2"/>
        <v>0</v>
      </c>
      <c r="M42" s="512"/>
      <c r="N42" s="504">
        <f t="shared" si="4"/>
        <v>0</v>
      </c>
      <c r="O42" s="504">
        <f t="shared" si="5"/>
        <v>0</v>
      </c>
      <c r="P42" s="278"/>
      <c r="R42" s="243"/>
      <c r="S42" s="243"/>
      <c r="T42" s="243"/>
      <c r="U42" s="243"/>
    </row>
    <row r="43" spans="2:21">
      <c r="B43" s="145" t="str">
        <f t="shared" si="6"/>
        <v/>
      </c>
      <c r="C43" s="495">
        <f>IF(D11="","-",+C42+1)</f>
        <v>2036</v>
      </c>
      <c r="D43" s="508">
        <f>IF(F42+SUM(E$17:E42)=D$10,F42,D$10-SUM(E$17:E42))</f>
        <v>319777.45648598642</v>
      </c>
      <c r="E43" s="509">
        <f>IF(+I14&lt;F42,I14,D43)</f>
        <v>29872.040606060604</v>
      </c>
      <c r="F43" s="510">
        <f t="shared" si="13"/>
        <v>289905.41587992583</v>
      </c>
      <c r="G43" s="511">
        <f t="shared" si="14"/>
        <v>64855.270055621993</v>
      </c>
      <c r="H43" s="477">
        <f t="shared" si="15"/>
        <v>64855.270055621993</v>
      </c>
      <c r="I43" s="500">
        <f t="shared" si="0"/>
        <v>0</v>
      </c>
      <c r="J43" s="500"/>
      <c r="K43" s="512"/>
      <c r="L43" s="504">
        <f t="shared" si="2"/>
        <v>0</v>
      </c>
      <c r="M43" s="512"/>
      <c r="N43" s="504">
        <f t="shared" si="4"/>
        <v>0</v>
      </c>
      <c r="O43" s="504">
        <f t="shared" si="5"/>
        <v>0</v>
      </c>
      <c r="P43" s="278"/>
      <c r="R43" s="243"/>
      <c r="S43" s="243"/>
      <c r="T43" s="243"/>
      <c r="U43" s="243"/>
    </row>
    <row r="44" spans="2:21">
      <c r="B44" s="145" t="str">
        <f t="shared" si="6"/>
        <v/>
      </c>
      <c r="C44" s="495">
        <f>IF(D11="","-",+C43+1)</f>
        <v>2037</v>
      </c>
      <c r="D44" s="508">
        <f>IF(F43+SUM(E$17:E43)=D$10,F43,D$10-SUM(E$17:E43))</f>
        <v>289905.41587992583</v>
      </c>
      <c r="E44" s="509">
        <f>IF(+I14&lt;F43,I14,D44)</f>
        <v>29872.040606060604</v>
      </c>
      <c r="F44" s="510">
        <f t="shared" si="13"/>
        <v>260033.37527386524</v>
      </c>
      <c r="G44" s="511">
        <f t="shared" si="14"/>
        <v>61427.191301849016</v>
      </c>
      <c r="H44" s="477">
        <f t="shared" si="15"/>
        <v>61427.191301849016</v>
      </c>
      <c r="I44" s="500">
        <f t="shared" si="0"/>
        <v>0</v>
      </c>
      <c r="J44" s="500"/>
      <c r="K44" s="512"/>
      <c r="L44" s="504">
        <f t="shared" si="2"/>
        <v>0</v>
      </c>
      <c r="M44" s="512"/>
      <c r="N44" s="504">
        <f t="shared" si="4"/>
        <v>0</v>
      </c>
      <c r="O44" s="504">
        <f t="shared" si="5"/>
        <v>0</v>
      </c>
      <c r="P44" s="278"/>
      <c r="R44" s="243"/>
      <c r="S44" s="243"/>
      <c r="T44" s="243"/>
      <c r="U44" s="243"/>
    </row>
    <row r="45" spans="2:21">
      <c r="B45" s="145" t="str">
        <f t="shared" si="6"/>
        <v/>
      </c>
      <c r="C45" s="495">
        <f>IF(D11="","-",+C44+1)</f>
        <v>2038</v>
      </c>
      <c r="D45" s="508">
        <f>IF(F44+SUM(E$17:E44)=D$10,F44,D$10-SUM(E$17:E44))</f>
        <v>260033.37527386524</v>
      </c>
      <c r="E45" s="509">
        <f>IF(+I14&lt;F44,I14,D45)</f>
        <v>29872.040606060604</v>
      </c>
      <c r="F45" s="510">
        <f t="shared" si="13"/>
        <v>230161.33466780465</v>
      </c>
      <c r="G45" s="511">
        <f t="shared" si="14"/>
        <v>57999.112548076038</v>
      </c>
      <c r="H45" s="477">
        <f t="shared" si="15"/>
        <v>57999.112548076038</v>
      </c>
      <c r="I45" s="500">
        <f t="shared" si="0"/>
        <v>0</v>
      </c>
      <c r="J45" s="500"/>
      <c r="K45" s="512"/>
      <c r="L45" s="504">
        <f t="shared" si="2"/>
        <v>0</v>
      </c>
      <c r="M45" s="512"/>
      <c r="N45" s="504">
        <f t="shared" si="4"/>
        <v>0</v>
      </c>
      <c r="O45" s="504">
        <f t="shared" si="5"/>
        <v>0</v>
      </c>
      <c r="P45" s="278"/>
      <c r="R45" s="243"/>
      <c r="S45" s="243"/>
      <c r="T45" s="243"/>
      <c r="U45" s="243"/>
    </row>
    <row r="46" spans="2:21">
      <c r="B46" s="145" t="str">
        <f t="shared" si="6"/>
        <v/>
      </c>
      <c r="C46" s="495">
        <f>IF(D11="","-",+C45+1)</f>
        <v>2039</v>
      </c>
      <c r="D46" s="508">
        <f>IF(F45+SUM(E$17:E45)=D$10,F45,D$10-SUM(E$17:E45))</f>
        <v>230161.33466780465</v>
      </c>
      <c r="E46" s="509">
        <f>IF(+I14&lt;F45,I14,D46)</f>
        <v>29872.040606060604</v>
      </c>
      <c r="F46" s="510">
        <f t="shared" si="13"/>
        <v>200289.29406174406</v>
      </c>
      <c r="G46" s="511">
        <f t="shared" si="14"/>
        <v>54571.033794303061</v>
      </c>
      <c r="H46" s="477">
        <f t="shared" si="15"/>
        <v>54571.033794303061</v>
      </c>
      <c r="I46" s="500">
        <f t="shared" si="0"/>
        <v>0</v>
      </c>
      <c r="J46" s="500"/>
      <c r="K46" s="512"/>
      <c r="L46" s="504">
        <f t="shared" si="2"/>
        <v>0</v>
      </c>
      <c r="M46" s="512"/>
      <c r="N46" s="504">
        <f t="shared" si="4"/>
        <v>0</v>
      </c>
      <c r="O46" s="504">
        <f t="shared" si="5"/>
        <v>0</v>
      </c>
      <c r="P46" s="278"/>
      <c r="R46" s="243"/>
      <c r="S46" s="243"/>
      <c r="T46" s="243"/>
      <c r="U46" s="243"/>
    </row>
    <row r="47" spans="2:21">
      <c r="B47" s="145" t="str">
        <f t="shared" si="6"/>
        <v/>
      </c>
      <c r="C47" s="495">
        <f>IF(D11="","-",+C46+1)</f>
        <v>2040</v>
      </c>
      <c r="D47" s="508">
        <f>IF(F46+SUM(E$17:E46)=D$10,F46,D$10-SUM(E$17:E46))</f>
        <v>200289.29406174406</v>
      </c>
      <c r="E47" s="509">
        <f>IF(+I14&lt;F46,I14,D47)</f>
        <v>29872.040606060604</v>
      </c>
      <c r="F47" s="510">
        <f t="shared" si="13"/>
        <v>170417.25345568347</v>
      </c>
      <c r="G47" s="511">
        <f t="shared" si="14"/>
        <v>51142.955040530091</v>
      </c>
      <c r="H47" s="477">
        <f t="shared" si="15"/>
        <v>51142.955040530091</v>
      </c>
      <c r="I47" s="500">
        <f t="shared" si="0"/>
        <v>0</v>
      </c>
      <c r="J47" s="500"/>
      <c r="K47" s="512"/>
      <c r="L47" s="504">
        <f t="shared" si="2"/>
        <v>0</v>
      </c>
      <c r="M47" s="512"/>
      <c r="N47" s="504">
        <f t="shared" si="4"/>
        <v>0</v>
      </c>
      <c r="O47" s="504">
        <f t="shared" si="5"/>
        <v>0</v>
      </c>
      <c r="P47" s="278"/>
      <c r="R47" s="243"/>
      <c r="S47" s="243"/>
      <c r="T47" s="243"/>
      <c r="U47" s="243"/>
    </row>
    <row r="48" spans="2:21">
      <c r="B48" s="145" t="str">
        <f t="shared" si="6"/>
        <v/>
      </c>
      <c r="C48" s="495">
        <f>IF(D11="","-",+C47+1)</f>
        <v>2041</v>
      </c>
      <c r="D48" s="508">
        <f>IF(F47+SUM(E$17:E47)=D$10,F47,D$10-SUM(E$17:E47))</f>
        <v>170417.25345568347</v>
      </c>
      <c r="E48" s="509">
        <f>IF(+I14&lt;F47,I14,D48)</f>
        <v>29872.040606060604</v>
      </c>
      <c r="F48" s="510">
        <f t="shared" si="13"/>
        <v>140545.21284962288</v>
      </c>
      <c r="G48" s="511">
        <f t="shared" si="14"/>
        <v>47714.876286757113</v>
      </c>
      <c r="H48" s="477">
        <f t="shared" si="15"/>
        <v>47714.876286757113</v>
      </c>
      <c r="I48" s="500">
        <f t="shared" si="0"/>
        <v>0</v>
      </c>
      <c r="J48" s="500"/>
      <c r="K48" s="512"/>
      <c r="L48" s="504">
        <f t="shared" si="2"/>
        <v>0</v>
      </c>
      <c r="M48" s="512"/>
      <c r="N48" s="504">
        <f t="shared" si="4"/>
        <v>0</v>
      </c>
      <c r="O48" s="504">
        <f t="shared" si="5"/>
        <v>0</v>
      </c>
      <c r="P48" s="278"/>
      <c r="R48" s="243"/>
      <c r="S48" s="243"/>
      <c r="T48" s="243"/>
      <c r="U48" s="243"/>
    </row>
    <row r="49" spans="2:21">
      <c r="B49" s="145" t="str">
        <f t="shared" si="6"/>
        <v/>
      </c>
      <c r="C49" s="495">
        <f>IF(D11="","-",+C48+1)</f>
        <v>2042</v>
      </c>
      <c r="D49" s="508">
        <f>IF(F48+SUM(E$17:E48)=D$10,F48,D$10-SUM(E$17:E48))</f>
        <v>140545.21284962288</v>
      </c>
      <c r="E49" s="509">
        <f>IF(+I14&lt;F48,I14,D49)</f>
        <v>29872.040606060604</v>
      </c>
      <c r="F49" s="510">
        <f t="shared" si="13"/>
        <v>110673.17224356228</v>
      </c>
      <c r="G49" s="511">
        <f t="shared" si="14"/>
        <v>44286.797532984136</v>
      </c>
      <c r="H49" s="477">
        <f t="shared" si="15"/>
        <v>44286.797532984136</v>
      </c>
      <c r="I49" s="500">
        <f t="shared" si="0"/>
        <v>0</v>
      </c>
      <c r="J49" s="500"/>
      <c r="K49" s="512"/>
      <c r="L49" s="504">
        <f t="shared" si="2"/>
        <v>0</v>
      </c>
      <c r="M49" s="512"/>
      <c r="N49" s="504">
        <f t="shared" si="4"/>
        <v>0</v>
      </c>
      <c r="O49" s="504">
        <f t="shared" si="5"/>
        <v>0</v>
      </c>
      <c r="P49" s="278"/>
      <c r="R49" s="243"/>
      <c r="S49" s="243"/>
      <c r="T49" s="243"/>
      <c r="U49" s="243"/>
    </row>
    <row r="50" spans="2:21">
      <c r="B50" s="145" t="str">
        <f t="shared" si="6"/>
        <v/>
      </c>
      <c r="C50" s="495">
        <f>IF(D11="","-",+C49+1)</f>
        <v>2043</v>
      </c>
      <c r="D50" s="508">
        <f>IF(F49+SUM(E$17:E49)=D$10,F49,D$10-SUM(E$17:E49))</f>
        <v>110673.17224356228</v>
      </c>
      <c r="E50" s="509">
        <f>IF(+I14&lt;F49,I14,D50)</f>
        <v>29872.040606060604</v>
      </c>
      <c r="F50" s="510">
        <f t="shared" ref="F50:F73" si="16">+D50-E50</f>
        <v>80801.131637501676</v>
      </c>
      <c r="G50" s="511">
        <f t="shared" si="14"/>
        <v>40858.718779211158</v>
      </c>
      <c r="H50" s="477">
        <f t="shared" si="15"/>
        <v>40858.718779211158</v>
      </c>
      <c r="I50" s="500">
        <f t="shared" ref="I50:I73" si="17">H50-G50</f>
        <v>0</v>
      </c>
      <c r="J50" s="500"/>
      <c r="K50" s="512"/>
      <c r="L50" s="504">
        <f t="shared" ref="L50:L73" si="18">IF(K50&lt;&gt;0,+G50-K50,0)</f>
        <v>0</v>
      </c>
      <c r="M50" s="512"/>
      <c r="N50" s="504">
        <f t="shared" ref="N50:N73" si="19">IF(M50&lt;&gt;0,+H50-M50,0)</f>
        <v>0</v>
      </c>
      <c r="O50" s="504">
        <f t="shared" ref="O50:O73" si="20">+N50-L50</f>
        <v>0</v>
      </c>
      <c r="P50" s="278"/>
      <c r="R50" s="243"/>
      <c r="S50" s="243"/>
      <c r="T50" s="243"/>
      <c r="U50" s="243"/>
    </row>
    <row r="51" spans="2:21">
      <c r="B51" s="145" t="str">
        <f t="shared" si="6"/>
        <v/>
      </c>
      <c r="C51" s="495">
        <f>IF(D11="","-",+C50+1)</f>
        <v>2044</v>
      </c>
      <c r="D51" s="508">
        <f>IF(F50+SUM(E$17:E50)=D$10,F50,D$10-SUM(E$17:E50))</f>
        <v>80801.131637501676</v>
      </c>
      <c r="E51" s="509">
        <f>IF(+I14&lt;F50,I14,D51)</f>
        <v>29872.040606060604</v>
      </c>
      <c r="F51" s="510">
        <f t="shared" si="16"/>
        <v>50929.091031441072</v>
      </c>
      <c r="G51" s="511">
        <f t="shared" si="14"/>
        <v>37430.640025438181</v>
      </c>
      <c r="H51" s="477">
        <f t="shared" si="15"/>
        <v>37430.640025438181</v>
      </c>
      <c r="I51" s="500">
        <f t="shared" si="17"/>
        <v>0</v>
      </c>
      <c r="J51" s="500"/>
      <c r="K51" s="512"/>
      <c r="L51" s="504">
        <f t="shared" si="18"/>
        <v>0</v>
      </c>
      <c r="M51" s="512"/>
      <c r="N51" s="504">
        <f t="shared" si="19"/>
        <v>0</v>
      </c>
      <c r="O51" s="504">
        <f t="shared" si="20"/>
        <v>0</v>
      </c>
      <c r="P51" s="278"/>
      <c r="R51" s="243"/>
      <c r="S51" s="243"/>
      <c r="T51" s="243"/>
      <c r="U51" s="243"/>
    </row>
    <row r="52" spans="2:21">
      <c r="B52" s="145" t="str">
        <f t="shared" si="6"/>
        <v/>
      </c>
      <c r="C52" s="495">
        <f>IF(D11="","-",+C51+1)</f>
        <v>2045</v>
      </c>
      <c r="D52" s="508">
        <f>IF(F51+SUM(E$17:E51)=D$10,F51,D$10-SUM(E$17:E51))</f>
        <v>50929.091031441072</v>
      </c>
      <c r="E52" s="509">
        <f>IF(+I14&lt;F51,I14,D52)</f>
        <v>29872.040606060604</v>
      </c>
      <c r="F52" s="510">
        <f t="shared" si="16"/>
        <v>21057.050425380468</v>
      </c>
      <c r="G52" s="511">
        <f t="shared" si="14"/>
        <v>34002.561271665203</v>
      </c>
      <c r="H52" s="477">
        <f t="shared" si="15"/>
        <v>34002.561271665203</v>
      </c>
      <c r="I52" s="500">
        <f t="shared" si="17"/>
        <v>0</v>
      </c>
      <c r="J52" s="500"/>
      <c r="K52" s="512"/>
      <c r="L52" s="504">
        <f t="shared" si="18"/>
        <v>0</v>
      </c>
      <c r="M52" s="512"/>
      <c r="N52" s="504">
        <f t="shared" si="19"/>
        <v>0</v>
      </c>
      <c r="O52" s="504">
        <f t="shared" si="20"/>
        <v>0</v>
      </c>
      <c r="P52" s="278"/>
      <c r="R52" s="243"/>
      <c r="S52" s="243"/>
      <c r="T52" s="243"/>
      <c r="U52" s="243"/>
    </row>
    <row r="53" spans="2:21">
      <c r="B53" s="145" t="str">
        <f t="shared" si="6"/>
        <v/>
      </c>
      <c r="C53" s="495">
        <f>IF(D11="","-",+C52+1)</f>
        <v>2046</v>
      </c>
      <c r="D53" s="508">
        <f>IF(F52+SUM(E$17:E52)=D$10,F52,D$10-SUM(E$17:E52))</f>
        <v>21057.050425380468</v>
      </c>
      <c r="E53" s="509">
        <f>IF(+I14&lt;F52,I14,D53)</f>
        <v>21057.050425380468</v>
      </c>
      <c r="F53" s="510">
        <f t="shared" si="16"/>
        <v>0</v>
      </c>
      <c r="G53" s="511">
        <f t="shared" si="14"/>
        <v>22265.291069739524</v>
      </c>
      <c r="H53" s="477">
        <f t="shared" si="15"/>
        <v>22265.291069739524</v>
      </c>
      <c r="I53" s="500">
        <f t="shared" si="17"/>
        <v>0</v>
      </c>
      <c r="J53" s="500"/>
      <c r="K53" s="512"/>
      <c r="L53" s="504">
        <f t="shared" si="18"/>
        <v>0</v>
      </c>
      <c r="M53" s="512"/>
      <c r="N53" s="504">
        <f t="shared" si="19"/>
        <v>0</v>
      </c>
      <c r="O53" s="504">
        <f t="shared" si="20"/>
        <v>0</v>
      </c>
      <c r="P53" s="278"/>
      <c r="R53" s="243"/>
      <c r="S53" s="243"/>
      <c r="T53" s="243"/>
      <c r="U53" s="243"/>
    </row>
    <row r="54" spans="2:21">
      <c r="B54" s="145" t="str">
        <f t="shared" si="6"/>
        <v/>
      </c>
      <c r="C54" s="495">
        <f>IF(D11="","-",+C53+1)</f>
        <v>2047</v>
      </c>
      <c r="D54" s="508">
        <f>IF(F53+SUM(E$17:E53)=D$10,F53,D$10-SUM(E$17:E53))</f>
        <v>0</v>
      </c>
      <c r="E54" s="509">
        <f>IF(+I14&lt;F53,I14,D54)</f>
        <v>0</v>
      </c>
      <c r="F54" s="510">
        <f t="shared" si="16"/>
        <v>0</v>
      </c>
      <c r="G54" s="511">
        <f t="shared" si="14"/>
        <v>0</v>
      </c>
      <c r="H54" s="477">
        <f t="shared" si="15"/>
        <v>0</v>
      </c>
      <c r="I54" s="500">
        <f t="shared" si="17"/>
        <v>0</v>
      </c>
      <c r="J54" s="500"/>
      <c r="K54" s="512"/>
      <c r="L54" s="504">
        <f t="shared" si="18"/>
        <v>0</v>
      </c>
      <c r="M54" s="512"/>
      <c r="N54" s="504">
        <f t="shared" si="19"/>
        <v>0</v>
      </c>
      <c r="O54" s="504">
        <f t="shared" si="20"/>
        <v>0</v>
      </c>
      <c r="P54" s="278"/>
      <c r="R54" s="243"/>
      <c r="S54" s="243"/>
      <c r="T54" s="243"/>
      <c r="U54" s="243"/>
    </row>
    <row r="55" spans="2:21">
      <c r="B55" s="145" t="str">
        <f t="shared" si="6"/>
        <v/>
      </c>
      <c r="C55" s="495">
        <f>IF(D11="","-",+C54+1)</f>
        <v>2048</v>
      </c>
      <c r="D55" s="508">
        <f>IF(F54+SUM(E$17:E54)=D$10,F54,D$10-SUM(E$17:E54))</f>
        <v>0</v>
      </c>
      <c r="E55" s="509">
        <f>IF(+I14&lt;F54,I14,D55)</f>
        <v>0</v>
      </c>
      <c r="F55" s="510">
        <f t="shared" si="16"/>
        <v>0</v>
      </c>
      <c r="G55" s="511">
        <f t="shared" si="14"/>
        <v>0</v>
      </c>
      <c r="H55" s="477">
        <f t="shared" si="15"/>
        <v>0</v>
      </c>
      <c r="I55" s="500">
        <f t="shared" si="17"/>
        <v>0</v>
      </c>
      <c r="J55" s="500"/>
      <c r="K55" s="512"/>
      <c r="L55" s="504">
        <f t="shared" si="18"/>
        <v>0</v>
      </c>
      <c r="M55" s="512"/>
      <c r="N55" s="504">
        <f t="shared" si="19"/>
        <v>0</v>
      </c>
      <c r="O55" s="504">
        <f t="shared" si="20"/>
        <v>0</v>
      </c>
      <c r="P55" s="278"/>
      <c r="R55" s="243"/>
      <c r="S55" s="243"/>
      <c r="T55" s="243"/>
      <c r="U55" s="243"/>
    </row>
    <row r="56" spans="2:21">
      <c r="B56" s="145" t="str">
        <f t="shared" si="6"/>
        <v/>
      </c>
      <c r="C56" s="495">
        <f>IF(D11="","-",+C55+1)</f>
        <v>2049</v>
      </c>
      <c r="D56" s="508">
        <f>IF(F55+SUM(E$17:E55)=D$10,F55,D$10-SUM(E$17:E55))</f>
        <v>0</v>
      </c>
      <c r="E56" s="509">
        <f>IF(+I14&lt;F55,I14,D56)</f>
        <v>0</v>
      </c>
      <c r="F56" s="510">
        <f t="shared" si="16"/>
        <v>0</v>
      </c>
      <c r="G56" s="511">
        <f t="shared" si="14"/>
        <v>0</v>
      </c>
      <c r="H56" s="477">
        <f t="shared" si="15"/>
        <v>0</v>
      </c>
      <c r="I56" s="500">
        <f t="shared" si="17"/>
        <v>0</v>
      </c>
      <c r="J56" s="500"/>
      <c r="K56" s="512"/>
      <c r="L56" s="504">
        <f t="shared" si="18"/>
        <v>0</v>
      </c>
      <c r="M56" s="512"/>
      <c r="N56" s="504">
        <f t="shared" si="19"/>
        <v>0</v>
      </c>
      <c r="O56" s="504">
        <f t="shared" si="20"/>
        <v>0</v>
      </c>
      <c r="P56" s="278"/>
      <c r="R56" s="243"/>
      <c r="S56" s="243"/>
      <c r="T56" s="243"/>
      <c r="U56" s="243"/>
    </row>
    <row r="57" spans="2:21">
      <c r="B57" s="145" t="str">
        <f t="shared" si="6"/>
        <v/>
      </c>
      <c r="C57" s="495">
        <f>IF(D11="","-",+C56+1)</f>
        <v>2050</v>
      </c>
      <c r="D57" s="508">
        <f>IF(F56+SUM(E$17:E56)=D$10,F56,D$10-SUM(E$17:E56))</f>
        <v>0</v>
      </c>
      <c r="E57" s="509">
        <f>IF(+I14&lt;F56,I14,D57)</f>
        <v>0</v>
      </c>
      <c r="F57" s="510">
        <f t="shared" si="16"/>
        <v>0</v>
      </c>
      <c r="G57" s="511">
        <f t="shared" si="14"/>
        <v>0</v>
      </c>
      <c r="H57" s="477">
        <f t="shared" si="15"/>
        <v>0</v>
      </c>
      <c r="I57" s="500">
        <f t="shared" si="17"/>
        <v>0</v>
      </c>
      <c r="J57" s="500"/>
      <c r="K57" s="512"/>
      <c r="L57" s="504">
        <f t="shared" si="18"/>
        <v>0</v>
      </c>
      <c r="M57" s="512"/>
      <c r="N57" s="504">
        <f t="shared" si="19"/>
        <v>0</v>
      </c>
      <c r="O57" s="504">
        <f t="shared" si="20"/>
        <v>0</v>
      </c>
      <c r="P57" s="278"/>
      <c r="R57" s="243"/>
      <c r="S57" s="243"/>
      <c r="T57" s="243"/>
      <c r="U57" s="243"/>
    </row>
    <row r="58" spans="2:21">
      <c r="B58" s="145" t="str">
        <f t="shared" si="6"/>
        <v/>
      </c>
      <c r="C58" s="495">
        <f>IF(D11="","-",+C57+1)</f>
        <v>2051</v>
      </c>
      <c r="D58" s="508">
        <f>IF(F57+SUM(E$17:E57)=D$10,F57,D$10-SUM(E$17:E57))</f>
        <v>0</v>
      </c>
      <c r="E58" s="509">
        <f>IF(+I14&lt;F57,I14,D58)</f>
        <v>0</v>
      </c>
      <c r="F58" s="510">
        <f t="shared" si="16"/>
        <v>0</v>
      </c>
      <c r="G58" s="511">
        <f t="shared" si="14"/>
        <v>0</v>
      </c>
      <c r="H58" s="477">
        <f t="shared" si="15"/>
        <v>0</v>
      </c>
      <c r="I58" s="500">
        <f t="shared" si="17"/>
        <v>0</v>
      </c>
      <c r="J58" s="500"/>
      <c r="K58" s="512"/>
      <c r="L58" s="504">
        <f t="shared" si="18"/>
        <v>0</v>
      </c>
      <c r="M58" s="512"/>
      <c r="N58" s="504">
        <f t="shared" si="19"/>
        <v>0</v>
      </c>
      <c r="O58" s="504">
        <f t="shared" si="20"/>
        <v>0</v>
      </c>
      <c r="P58" s="278"/>
      <c r="R58" s="243"/>
      <c r="S58" s="243"/>
      <c r="T58" s="243"/>
      <c r="U58" s="243"/>
    </row>
    <row r="59" spans="2:21">
      <c r="B59" s="145" t="str">
        <f t="shared" si="6"/>
        <v/>
      </c>
      <c r="C59" s="495">
        <f>IF(D11="","-",+C58+1)</f>
        <v>2052</v>
      </c>
      <c r="D59" s="508">
        <f>IF(F58+SUM(E$17:E58)=D$10,F58,D$10-SUM(E$17:E58))</f>
        <v>0</v>
      </c>
      <c r="E59" s="509">
        <f>IF(+I14&lt;F58,I14,D59)</f>
        <v>0</v>
      </c>
      <c r="F59" s="510">
        <f t="shared" si="16"/>
        <v>0</v>
      </c>
      <c r="G59" s="511">
        <f t="shared" si="14"/>
        <v>0</v>
      </c>
      <c r="H59" s="477">
        <f t="shared" si="15"/>
        <v>0</v>
      </c>
      <c r="I59" s="500">
        <f t="shared" si="17"/>
        <v>0</v>
      </c>
      <c r="J59" s="500"/>
      <c r="K59" s="512"/>
      <c r="L59" s="504">
        <f t="shared" si="18"/>
        <v>0</v>
      </c>
      <c r="M59" s="512"/>
      <c r="N59" s="504">
        <f t="shared" si="19"/>
        <v>0</v>
      </c>
      <c r="O59" s="504">
        <f t="shared" si="20"/>
        <v>0</v>
      </c>
      <c r="P59" s="278"/>
      <c r="R59" s="243"/>
      <c r="S59" s="243"/>
      <c r="T59" s="243"/>
      <c r="U59" s="243"/>
    </row>
    <row r="60" spans="2:21">
      <c r="B60" s="145" t="str">
        <f t="shared" si="6"/>
        <v/>
      </c>
      <c r="C60" s="495">
        <f>IF(D11="","-",+C59+1)</f>
        <v>2053</v>
      </c>
      <c r="D60" s="508">
        <f>IF(F59+SUM(E$17:E59)=D$10,F59,D$10-SUM(E$17:E59))</f>
        <v>0</v>
      </c>
      <c r="E60" s="509">
        <f>IF(+I14&lt;F59,I14,D60)</f>
        <v>0</v>
      </c>
      <c r="F60" s="510">
        <f t="shared" si="16"/>
        <v>0</v>
      </c>
      <c r="G60" s="511">
        <f t="shared" si="14"/>
        <v>0</v>
      </c>
      <c r="H60" s="477">
        <f t="shared" si="15"/>
        <v>0</v>
      </c>
      <c r="I60" s="500">
        <f t="shared" si="17"/>
        <v>0</v>
      </c>
      <c r="J60" s="500"/>
      <c r="K60" s="512"/>
      <c r="L60" s="504">
        <f t="shared" si="18"/>
        <v>0</v>
      </c>
      <c r="M60" s="512"/>
      <c r="N60" s="504">
        <f t="shared" si="19"/>
        <v>0</v>
      </c>
      <c r="O60" s="504">
        <f t="shared" si="20"/>
        <v>0</v>
      </c>
      <c r="P60" s="278"/>
      <c r="R60" s="243"/>
      <c r="S60" s="243"/>
      <c r="T60" s="243"/>
      <c r="U60" s="243"/>
    </row>
    <row r="61" spans="2:21">
      <c r="B61" s="145" t="str">
        <f t="shared" si="6"/>
        <v/>
      </c>
      <c r="C61" s="495">
        <f>IF(D11="","-",+C60+1)</f>
        <v>2054</v>
      </c>
      <c r="D61" s="508">
        <f>IF(F60+SUM(E$17:E60)=D$10,F60,D$10-SUM(E$17:E60))</f>
        <v>0</v>
      </c>
      <c r="E61" s="509">
        <f>IF(+I14&lt;F60,I14,D61)</f>
        <v>0</v>
      </c>
      <c r="F61" s="510">
        <f t="shared" si="16"/>
        <v>0</v>
      </c>
      <c r="G61" s="511">
        <f t="shared" si="14"/>
        <v>0</v>
      </c>
      <c r="H61" s="477">
        <f t="shared" si="15"/>
        <v>0</v>
      </c>
      <c r="I61" s="500">
        <f t="shared" si="17"/>
        <v>0</v>
      </c>
      <c r="J61" s="500"/>
      <c r="K61" s="512"/>
      <c r="L61" s="504">
        <f t="shared" si="18"/>
        <v>0</v>
      </c>
      <c r="M61" s="512"/>
      <c r="N61" s="504">
        <f t="shared" si="19"/>
        <v>0</v>
      </c>
      <c r="O61" s="504">
        <f t="shared" si="20"/>
        <v>0</v>
      </c>
      <c r="P61" s="278"/>
      <c r="R61" s="243"/>
      <c r="S61" s="243"/>
      <c r="T61" s="243"/>
      <c r="U61" s="243"/>
    </row>
    <row r="62" spans="2:21">
      <c r="B62" s="145" t="str">
        <f t="shared" si="6"/>
        <v/>
      </c>
      <c r="C62" s="495">
        <f>IF(D11="","-",+C61+1)</f>
        <v>2055</v>
      </c>
      <c r="D62" s="508">
        <f>IF(F61+SUM(E$17:E61)=D$10,F61,D$10-SUM(E$17:E61))</f>
        <v>0</v>
      </c>
      <c r="E62" s="509">
        <f>IF(+I14&lt;F61,I14,D62)</f>
        <v>0</v>
      </c>
      <c r="F62" s="510">
        <f t="shared" si="16"/>
        <v>0</v>
      </c>
      <c r="G62" s="523">
        <f t="shared" si="14"/>
        <v>0</v>
      </c>
      <c r="H62" s="477">
        <f t="shared" si="15"/>
        <v>0</v>
      </c>
      <c r="I62" s="500">
        <f t="shared" si="17"/>
        <v>0</v>
      </c>
      <c r="J62" s="500"/>
      <c r="K62" s="512"/>
      <c r="L62" s="504">
        <f t="shared" si="18"/>
        <v>0</v>
      </c>
      <c r="M62" s="512"/>
      <c r="N62" s="504">
        <f t="shared" si="19"/>
        <v>0</v>
      </c>
      <c r="O62" s="504">
        <f t="shared" si="20"/>
        <v>0</v>
      </c>
      <c r="P62" s="278"/>
      <c r="R62" s="243"/>
      <c r="S62" s="243"/>
      <c r="T62" s="243"/>
      <c r="U62" s="243"/>
    </row>
    <row r="63" spans="2:21">
      <c r="B63" s="145" t="str">
        <f t="shared" si="6"/>
        <v/>
      </c>
      <c r="C63" s="495">
        <f>IF(D11="","-",+C62+1)</f>
        <v>2056</v>
      </c>
      <c r="D63" s="508">
        <f>IF(F62+SUM(E$17:E62)=D$10,F62,D$10-SUM(E$17:E62))</f>
        <v>0</v>
      </c>
      <c r="E63" s="509">
        <f>IF(+I14&lt;F62,I14,D63)</f>
        <v>0</v>
      </c>
      <c r="F63" s="510">
        <f t="shared" si="16"/>
        <v>0</v>
      </c>
      <c r="G63" s="523">
        <f t="shared" si="14"/>
        <v>0</v>
      </c>
      <c r="H63" s="477">
        <f t="shared" si="15"/>
        <v>0</v>
      </c>
      <c r="I63" s="500">
        <f t="shared" si="17"/>
        <v>0</v>
      </c>
      <c r="J63" s="500"/>
      <c r="K63" s="512"/>
      <c r="L63" s="504">
        <f t="shared" si="18"/>
        <v>0</v>
      </c>
      <c r="M63" s="512"/>
      <c r="N63" s="504">
        <f t="shared" si="19"/>
        <v>0</v>
      </c>
      <c r="O63" s="504">
        <f t="shared" si="20"/>
        <v>0</v>
      </c>
      <c r="P63" s="278"/>
      <c r="R63" s="243"/>
      <c r="S63" s="243"/>
      <c r="T63" s="243"/>
      <c r="U63" s="243"/>
    </row>
    <row r="64" spans="2:21">
      <c r="B64" s="145" t="str">
        <f t="shared" si="6"/>
        <v/>
      </c>
      <c r="C64" s="495">
        <f>IF(D11="","-",+C63+1)</f>
        <v>2057</v>
      </c>
      <c r="D64" s="508">
        <f>IF(F63+SUM(E$17:E63)=D$10,F63,D$10-SUM(E$17:E63))</f>
        <v>0</v>
      </c>
      <c r="E64" s="509">
        <f>IF(+I14&lt;F63,I14,D64)</f>
        <v>0</v>
      </c>
      <c r="F64" s="510">
        <f t="shared" si="16"/>
        <v>0</v>
      </c>
      <c r="G64" s="523">
        <f t="shared" si="14"/>
        <v>0</v>
      </c>
      <c r="H64" s="477">
        <f t="shared" si="15"/>
        <v>0</v>
      </c>
      <c r="I64" s="500">
        <f t="shared" si="17"/>
        <v>0</v>
      </c>
      <c r="J64" s="500"/>
      <c r="K64" s="512"/>
      <c r="L64" s="504">
        <f t="shared" si="18"/>
        <v>0</v>
      </c>
      <c r="M64" s="512"/>
      <c r="N64" s="504">
        <f t="shared" si="19"/>
        <v>0</v>
      </c>
      <c r="O64" s="504">
        <f t="shared" si="20"/>
        <v>0</v>
      </c>
      <c r="P64" s="278"/>
      <c r="R64" s="243"/>
      <c r="S64" s="243"/>
      <c r="T64" s="243"/>
      <c r="U64" s="243"/>
    </row>
    <row r="65" spans="2:21">
      <c r="B65" s="145" t="str">
        <f t="shared" si="6"/>
        <v/>
      </c>
      <c r="C65" s="495">
        <f>IF(D11="","-",+C64+1)</f>
        <v>2058</v>
      </c>
      <c r="D65" s="508">
        <f>IF(F64+SUM(E$17:E64)=D$10,F64,D$10-SUM(E$17:E64))</f>
        <v>0</v>
      </c>
      <c r="E65" s="509">
        <f>IF(+I14&lt;F64,I14,D65)</f>
        <v>0</v>
      </c>
      <c r="F65" s="510">
        <f t="shared" si="16"/>
        <v>0</v>
      </c>
      <c r="G65" s="523">
        <f t="shared" si="14"/>
        <v>0</v>
      </c>
      <c r="H65" s="477">
        <f t="shared" si="15"/>
        <v>0</v>
      </c>
      <c r="I65" s="500">
        <f t="shared" si="17"/>
        <v>0</v>
      </c>
      <c r="J65" s="500"/>
      <c r="K65" s="512"/>
      <c r="L65" s="504">
        <f t="shared" si="18"/>
        <v>0</v>
      </c>
      <c r="M65" s="512"/>
      <c r="N65" s="504">
        <f t="shared" si="19"/>
        <v>0</v>
      </c>
      <c r="O65" s="504">
        <f t="shared" si="20"/>
        <v>0</v>
      </c>
      <c r="P65" s="278"/>
      <c r="R65" s="243"/>
      <c r="S65" s="243"/>
      <c r="T65" s="243"/>
      <c r="U65" s="243"/>
    </row>
    <row r="66" spans="2:21">
      <c r="B66" s="145" t="str">
        <f t="shared" si="6"/>
        <v/>
      </c>
      <c r="C66" s="495">
        <f>IF(D11="","-",+C65+1)</f>
        <v>2059</v>
      </c>
      <c r="D66" s="508">
        <f>IF(F65+SUM(E$17:E65)=D$10,F65,D$10-SUM(E$17:E65))</f>
        <v>0</v>
      </c>
      <c r="E66" s="509">
        <f>IF(+I14&lt;F65,I14,D66)</f>
        <v>0</v>
      </c>
      <c r="F66" s="510">
        <f t="shared" si="16"/>
        <v>0</v>
      </c>
      <c r="G66" s="523">
        <f t="shared" si="14"/>
        <v>0</v>
      </c>
      <c r="H66" s="477">
        <f t="shared" si="15"/>
        <v>0</v>
      </c>
      <c r="I66" s="500">
        <f t="shared" si="17"/>
        <v>0</v>
      </c>
      <c r="J66" s="500"/>
      <c r="K66" s="512"/>
      <c r="L66" s="504">
        <f t="shared" si="18"/>
        <v>0</v>
      </c>
      <c r="M66" s="512"/>
      <c r="N66" s="504">
        <f t="shared" si="19"/>
        <v>0</v>
      </c>
      <c r="O66" s="504">
        <f t="shared" si="20"/>
        <v>0</v>
      </c>
      <c r="P66" s="278"/>
      <c r="R66" s="243"/>
      <c r="S66" s="243"/>
      <c r="T66" s="243"/>
      <c r="U66" s="243"/>
    </row>
    <row r="67" spans="2:21">
      <c r="B67" s="145" t="str">
        <f t="shared" si="6"/>
        <v/>
      </c>
      <c r="C67" s="495">
        <f>IF(D11="","-",+C66+1)</f>
        <v>2060</v>
      </c>
      <c r="D67" s="508">
        <f>IF(F66+SUM(E$17:E66)=D$10,F66,D$10-SUM(E$17:E66))</f>
        <v>0</v>
      </c>
      <c r="E67" s="509">
        <f>IF(+I14&lt;F66,I14,D67)</f>
        <v>0</v>
      </c>
      <c r="F67" s="510">
        <f t="shared" si="16"/>
        <v>0</v>
      </c>
      <c r="G67" s="523">
        <f t="shared" si="14"/>
        <v>0</v>
      </c>
      <c r="H67" s="477">
        <f t="shared" si="15"/>
        <v>0</v>
      </c>
      <c r="I67" s="500">
        <f t="shared" si="17"/>
        <v>0</v>
      </c>
      <c r="J67" s="500"/>
      <c r="K67" s="512"/>
      <c r="L67" s="504">
        <f t="shared" si="18"/>
        <v>0</v>
      </c>
      <c r="M67" s="512"/>
      <c r="N67" s="504">
        <f t="shared" si="19"/>
        <v>0</v>
      </c>
      <c r="O67" s="504">
        <f t="shared" si="20"/>
        <v>0</v>
      </c>
      <c r="P67" s="278"/>
      <c r="R67" s="243"/>
      <c r="S67" s="243"/>
      <c r="T67" s="243"/>
      <c r="U67" s="243"/>
    </row>
    <row r="68" spans="2:21">
      <c r="B68" s="145" t="str">
        <f t="shared" si="6"/>
        <v/>
      </c>
      <c r="C68" s="495">
        <f>IF(D11="","-",+C67+1)</f>
        <v>2061</v>
      </c>
      <c r="D68" s="508">
        <f>IF(F67+SUM(E$17:E67)=D$10,F67,D$10-SUM(E$17:E67))</f>
        <v>0</v>
      </c>
      <c r="E68" s="509">
        <f>IF(+I14&lt;F67,I14,D68)</f>
        <v>0</v>
      </c>
      <c r="F68" s="510">
        <f t="shared" si="16"/>
        <v>0</v>
      </c>
      <c r="G68" s="523">
        <f t="shared" si="14"/>
        <v>0</v>
      </c>
      <c r="H68" s="477">
        <f t="shared" si="15"/>
        <v>0</v>
      </c>
      <c r="I68" s="500">
        <f t="shared" si="17"/>
        <v>0</v>
      </c>
      <c r="J68" s="500"/>
      <c r="K68" s="512"/>
      <c r="L68" s="504">
        <f t="shared" si="18"/>
        <v>0</v>
      </c>
      <c r="M68" s="512"/>
      <c r="N68" s="504">
        <f t="shared" si="19"/>
        <v>0</v>
      </c>
      <c r="O68" s="504">
        <f t="shared" si="20"/>
        <v>0</v>
      </c>
      <c r="P68" s="278"/>
      <c r="R68" s="243"/>
      <c r="S68" s="243"/>
      <c r="T68" s="243"/>
      <c r="U68" s="243"/>
    </row>
    <row r="69" spans="2:21">
      <c r="B69" s="145" t="str">
        <f t="shared" si="6"/>
        <v/>
      </c>
      <c r="C69" s="495">
        <f>IF(D11="","-",+C68+1)</f>
        <v>2062</v>
      </c>
      <c r="D69" s="508">
        <f>IF(F68+SUM(E$17:E68)=D$10,F68,D$10-SUM(E$17:E68))</f>
        <v>0</v>
      </c>
      <c r="E69" s="509">
        <f>IF(+I14&lt;F68,I14,D69)</f>
        <v>0</v>
      </c>
      <c r="F69" s="510">
        <f t="shared" si="16"/>
        <v>0</v>
      </c>
      <c r="G69" s="523">
        <f t="shared" si="14"/>
        <v>0</v>
      </c>
      <c r="H69" s="477">
        <f t="shared" si="15"/>
        <v>0</v>
      </c>
      <c r="I69" s="500">
        <f t="shared" si="17"/>
        <v>0</v>
      </c>
      <c r="J69" s="500"/>
      <c r="K69" s="512"/>
      <c r="L69" s="504">
        <f t="shared" si="18"/>
        <v>0</v>
      </c>
      <c r="M69" s="512"/>
      <c r="N69" s="504">
        <f t="shared" si="19"/>
        <v>0</v>
      </c>
      <c r="O69" s="504">
        <f t="shared" si="20"/>
        <v>0</v>
      </c>
      <c r="P69" s="278"/>
      <c r="R69" s="243"/>
      <c r="S69" s="243"/>
      <c r="T69" s="243"/>
      <c r="U69" s="243"/>
    </row>
    <row r="70" spans="2:21">
      <c r="B70" s="145" t="str">
        <f t="shared" si="6"/>
        <v/>
      </c>
      <c r="C70" s="495">
        <f>IF(D11="","-",+C69+1)</f>
        <v>2063</v>
      </c>
      <c r="D70" s="508">
        <f>IF(F69+SUM(E$17:E69)=D$10,F69,D$10-SUM(E$17:E69))</f>
        <v>0</v>
      </c>
      <c r="E70" s="509">
        <f>IF(+I14&lt;F69,I14,D70)</f>
        <v>0</v>
      </c>
      <c r="F70" s="510">
        <f t="shared" si="16"/>
        <v>0</v>
      </c>
      <c r="G70" s="523">
        <f t="shared" si="14"/>
        <v>0</v>
      </c>
      <c r="H70" s="477">
        <f t="shared" si="15"/>
        <v>0</v>
      </c>
      <c r="I70" s="500">
        <f t="shared" si="17"/>
        <v>0</v>
      </c>
      <c r="J70" s="500"/>
      <c r="K70" s="512"/>
      <c r="L70" s="504">
        <f t="shared" si="18"/>
        <v>0</v>
      </c>
      <c r="M70" s="512"/>
      <c r="N70" s="504">
        <f t="shared" si="19"/>
        <v>0</v>
      </c>
      <c r="O70" s="504">
        <f t="shared" si="20"/>
        <v>0</v>
      </c>
      <c r="P70" s="278"/>
      <c r="R70" s="243"/>
      <c r="S70" s="243"/>
      <c r="T70" s="243"/>
      <c r="U70" s="243"/>
    </row>
    <row r="71" spans="2:21">
      <c r="B71" s="145" t="str">
        <f t="shared" si="6"/>
        <v/>
      </c>
      <c r="C71" s="495">
        <f>IF(D11="","-",+C70+1)</f>
        <v>2064</v>
      </c>
      <c r="D71" s="508">
        <f>IF(F70+SUM(E$17:E70)=D$10,F70,D$10-SUM(E$17:E70))</f>
        <v>0</v>
      </c>
      <c r="E71" s="509">
        <f>IF(+I14&lt;F70,I14,D71)</f>
        <v>0</v>
      </c>
      <c r="F71" s="510">
        <f t="shared" si="16"/>
        <v>0</v>
      </c>
      <c r="G71" s="523">
        <f t="shared" si="14"/>
        <v>0</v>
      </c>
      <c r="H71" s="477">
        <f t="shared" si="15"/>
        <v>0</v>
      </c>
      <c r="I71" s="500">
        <f t="shared" si="17"/>
        <v>0</v>
      </c>
      <c r="J71" s="500"/>
      <c r="K71" s="512"/>
      <c r="L71" s="504">
        <f t="shared" si="18"/>
        <v>0</v>
      </c>
      <c r="M71" s="512"/>
      <c r="N71" s="504">
        <f t="shared" si="19"/>
        <v>0</v>
      </c>
      <c r="O71" s="504">
        <f t="shared" si="20"/>
        <v>0</v>
      </c>
      <c r="P71" s="278"/>
      <c r="R71" s="243"/>
      <c r="S71" s="243"/>
      <c r="T71" s="243"/>
      <c r="U71" s="243"/>
    </row>
    <row r="72" spans="2:21">
      <c r="B72" s="145" t="str">
        <f t="shared" si="6"/>
        <v/>
      </c>
      <c r="C72" s="495">
        <f>IF(D11="","-",+C71+1)</f>
        <v>2065</v>
      </c>
      <c r="D72" s="508">
        <f>IF(F71+SUM(E$17:E71)=D$10,F71,D$10-SUM(E$17:E71))</f>
        <v>0</v>
      </c>
      <c r="E72" s="509">
        <f>IF(+I14&lt;F71,I14,D72)</f>
        <v>0</v>
      </c>
      <c r="F72" s="510">
        <f t="shared" si="16"/>
        <v>0</v>
      </c>
      <c r="G72" s="523">
        <f t="shared" si="14"/>
        <v>0</v>
      </c>
      <c r="H72" s="477">
        <f t="shared" si="15"/>
        <v>0</v>
      </c>
      <c r="I72" s="500">
        <f t="shared" si="17"/>
        <v>0</v>
      </c>
      <c r="J72" s="500"/>
      <c r="K72" s="512"/>
      <c r="L72" s="504">
        <f t="shared" si="18"/>
        <v>0</v>
      </c>
      <c r="M72" s="512"/>
      <c r="N72" s="504">
        <f t="shared" si="19"/>
        <v>0</v>
      </c>
      <c r="O72" s="504">
        <f t="shared" si="20"/>
        <v>0</v>
      </c>
      <c r="P72" s="278"/>
      <c r="R72" s="243"/>
      <c r="S72" s="243"/>
      <c r="T72" s="243"/>
      <c r="U72" s="243"/>
    </row>
    <row r="73" spans="2:21" ht="13.5" thickBot="1">
      <c r="B73" s="145" t="str">
        <f t="shared" si="6"/>
        <v/>
      </c>
      <c r="C73" s="524">
        <f>IF(D11="","-",+C72+1)</f>
        <v>2066</v>
      </c>
      <c r="D73" s="525">
        <f>IF(F72+SUM(E$17:E72)=D$10,F72,D$10-SUM(E$17:E72))</f>
        <v>0</v>
      </c>
      <c r="E73" s="526">
        <f>IF(+I14&lt;F72,I14,D73)</f>
        <v>0</v>
      </c>
      <c r="F73" s="527">
        <f t="shared" si="16"/>
        <v>0</v>
      </c>
      <c r="G73" s="528">
        <f t="shared" si="14"/>
        <v>0</v>
      </c>
      <c r="H73" s="458">
        <f t="shared" si="15"/>
        <v>0</v>
      </c>
      <c r="I73" s="529">
        <f t="shared" si="17"/>
        <v>0</v>
      </c>
      <c r="J73" s="500"/>
      <c r="K73" s="530"/>
      <c r="L73" s="531">
        <f t="shared" si="18"/>
        <v>0</v>
      </c>
      <c r="M73" s="530"/>
      <c r="N73" s="531">
        <f t="shared" si="19"/>
        <v>0</v>
      </c>
      <c r="O73" s="531">
        <f t="shared" si="20"/>
        <v>0</v>
      </c>
      <c r="P73" s="278"/>
      <c r="R73" s="243"/>
      <c r="S73" s="243"/>
      <c r="T73" s="243"/>
      <c r="U73" s="243"/>
    </row>
    <row r="74" spans="2:21">
      <c r="C74" s="349" t="s">
        <v>75</v>
      </c>
      <c r="D74" s="294"/>
      <c r="E74" s="294">
        <f>SUM(E17:E73)</f>
        <v>985777.34000000032</v>
      </c>
      <c r="F74" s="294"/>
      <c r="G74" s="294">
        <f>SUM(G17:G73)</f>
        <v>3187353.3320662905</v>
      </c>
      <c r="H74" s="294">
        <f>SUM(H17:H73)</f>
        <v>3187353.3320662905</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533" t="str">
        <f ca="1">P1</f>
        <v>OKT Project 2 of 23</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2020</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111686.32809259798</v>
      </c>
      <c r="N88" s="544">
        <f>IF(J93&lt;D11,0,VLOOKUP(J93,C17:O73,11))</f>
        <v>111686.32809259798</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117405.37509665726</v>
      </c>
      <c r="N89" s="548">
        <f>IF(J93&lt;D11,0,VLOOKUP(J93,C100:P155,7))</f>
        <v>117405.37509665726</v>
      </c>
      <c r="O89" s="549">
        <f>+N89-M89</f>
        <v>0</v>
      </c>
      <c r="P89" s="243"/>
      <c r="Q89" s="243"/>
      <c r="R89" s="243"/>
      <c r="S89" s="243"/>
      <c r="T89" s="243"/>
      <c r="U89" s="243"/>
    </row>
    <row r="90" spans="1:21" ht="13.5" thickBot="1">
      <c r="C90" s="454" t="s">
        <v>82</v>
      </c>
      <c r="D90" s="550" t="str">
        <f>+D7</f>
        <v>Coffeyville T to Dearing 138 kV Rebuild - 1.1 miles</v>
      </c>
      <c r="E90" s="243"/>
      <c r="F90" s="243"/>
      <c r="G90" s="243"/>
      <c r="H90" s="243"/>
      <c r="I90" s="325"/>
      <c r="J90" s="325"/>
      <c r="K90" s="551"/>
      <c r="L90" s="552" t="s">
        <v>135</v>
      </c>
      <c r="M90" s="553">
        <f>+M89-M88</f>
        <v>5719.0470040592772</v>
      </c>
      <c r="N90" s="553">
        <f>+N89-N88</f>
        <v>5719.0470040592772</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TP2008013</v>
      </c>
      <c r="E92" s="558"/>
      <c r="F92" s="558"/>
      <c r="G92" s="558"/>
      <c r="H92" s="558"/>
      <c r="I92" s="558"/>
      <c r="J92" s="558"/>
      <c r="K92" s="560"/>
      <c r="P92" s="468"/>
      <c r="Q92" s="243"/>
      <c r="R92" s="243"/>
      <c r="S92" s="243"/>
      <c r="T92" s="243"/>
      <c r="U92" s="243"/>
    </row>
    <row r="93" spans="1:21">
      <c r="C93" s="472" t="s">
        <v>49</v>
      </c>
      <c r="D93" s="470">
        <f>IF(D11=I10,0,D10)</f>
        <v>985777.34</v>
      </c>
      <c r="E93" s="248" t="s">
        <v>84</v>
      </c>
      <c r="H93" s="408"/>
      <c r="I93" s="408"/>
      <c r="J93" s="471">
        <f>+'OKT.WS.G.BPU.ATRR.True-up'!M16</f>
        <v>2020</v>
      </c>
      <c r="K93" s="467"/>
      <c r="L93" s="294" t="s">
        <v>85</v>
      </c>
      <c r="P93" s="278"/>
      <c r="Q93" s="243"/>
      <c r="R93" s="243"/>
      <c r="S93" s="243"/>
      <c r="T93" s="243"/>
      <c r="U93" s="243"/>
    </row>
    <row r="94" spans="1:21">
      <c r="C94" s="472" t="s">
        <v>52</v>
      </c>
      <c r="D94" s="561">
        <f>IF(D11=I10,"",D11)</f>
        <v>2010</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82">
        <f>IF(D11=I10,"",D12)</f>
        <v>6</v>
      </c>
      <c r="E95" s="472" t="s">
        <v>55</v>
      </c>
      <c r="F95" s="408"/>
      <c r="G95" s="408"/>
      <c r="J95" s="476">
        <f>'OKT.WS.G.BPU.ATRR.True-up'!$F$81</f>
        <v>0.11475877389767174</v>
      </c>
      <c r="K95" s="413"/>
      <c r="L95" s="145" t="s">
        <v>86</v>
      </c>
      <c r="P95" s="278"/>
      <c r="Q95" s="243"/>
      <c r="R95" s="243"/>
      <c r="S95" s="243"/>
      <c r="T95" s="243"/>
      <c r="U95" s="243"/>
    </row>
    <row r="96" spans="1:21">
      <c r="C96" s="472" t="s">
        <v>57</v>
      </c>
      <c r="D96" s="474">
        <f>'OKT.WS.G.BPU.ATRR.True-up'!F$93</f>
        <v>21</v>
      </c>
      <c r="E96" s="472" t="s">
        <v>58</v>
      </c>
      <c r="F96" s="408"/>
      <c r="G96" s="408"/>
      <c r="J96" s="476">
        <f>IF(H88="",J95,'OKT.WS.G.BPU.ATRR.True-up'!$F$80)</f>
        <v>0.11475877389767174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46941.778095238093</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B100" s="145" t="str">
        <f t="shared" ref="B100:B155" si="21">IF(D100=F99,"","IU")</f>
        <v>IU</v>
      </c>
      <c r="C100" s="495">
        <f>IF(D94= "","-",D94)</f>
        <v>2010</v>
      </c>
      <c r="D100" s="496">
        <v>0</v>
      </c>
      <c r="E100" s="498">
        <v>8464.310344827587</v>
      </c>
      <c r="F100" s="505">
        <v>973395.68965517241</v>
      </c>
      <c r="G100" s="571">
        <v>486697.8448275862</v>
      </c>
      <c r="H100" s="571">
        <v>173914.12278230567</v>
      </c>
      <c r="I100" s="571">
        <v>173914.12278230567</v>
      </c>
      <c r="J100" s="504">
        <f t="shared" ref="J100:J131" si="22">+I100-H100</f>
        <v>0</v>
      </c>
      <c r="K100" s="504"/>
      <c r="L100" s="506">
        <f t="shared" ref="L100:L105" si="23">H100</f>
        <v>173914.12278230567</v>
      </c>
      <c r="M100" s="507">
        <f>IF(L100&lt;&gt;0,+H100-L100,0)</f>
        <v>0</v>
      </c>
      <c r="N100" s="506">
        <f t="shared" ref="N100:N105" si="24">I100</f>
        <v>173914.12278230567</v>
      </c>
      <c r="O100" s="503">
        <f t="shared" ref="O100:O131" si="25">IF(N100&lt;&gt;0,+I100-N100,0)</f>
        <v>0</v>
      </c>
      <c r="P100" s="503">
        <f t="shared" ref="P100:P131" si="26">+O100-M100</f>
        <v>0</v>
      </c>
      <c r="Q100" s="243"/>
      <c r="R100" s="243"/>
      <c r="S100" s="243"/>
      <c r="T100" s="243"/>
      <c r="U100" s="243"/>
    </row>
    <row r="101" spans="1:21">
      <c r="B101" s="145" t="str">
        <f t="shared" si="21"/>
        <v/>
      </c>
      <c r="C101" s="495">
        <f>IF(D94="","-",+C100+1)</f>
        <v>2011</v>
      </c>
      <c r="D101" s="496">
        <v>973395.68965517241</v>
      </c>
      <c r="E101" s="498">
        <v>16996.161034482757</v>
      </c>
      <c r="F101" s="505">
        <v>956399.52862068964</v>
      </c>
      <c r="G101" s="505">
        <v>964897.60913793102</v>
      </c>
      <c r="H101" s="498">
        <v>88738.637904978968</v>
      </c>
      <c r="I101" s="499">
        <v>88738.637904978968</v>
      </c>
      <c r="J101" s="504">
        <v>0</v>
      </c>
      <c r="K101" s="504"/>
      <c r="L101" s="506">
        <f t="shared" si="23"/>
        <v>88738.637904978968</v>
      </c>
      <c r="M101" s="504">
        <f t="shared" ref="M101:M131" si="27">IF(L101&lt;&gt;0,+H101-L101,0)</f>
        <v>0</v>
      </c>
      <c r="N101" s="506">
        <f t="shared" si="24"/>
        <v>88738.637904978968</v>
      </c>
      <c r="O101" s="504">
        <f t="shared" si="25"/>
        <v>0</v>
      </c>
      <c r="P101" s="504">
        <f t="shared" si="26"/>
        <v>0</v>
      </c>
      <c r="Q101" s="243"/>
      <c r="R101" s="243"/>
      <c r="S101" s="243"/>
      <c r="T101" s="243"/>
      <c r="U101" s="243"/>
    </row>
    <row r="102" spans="1:21">
      <c r="B102" s="145" t="str">
        <f t="shared" si="21"/>
        <v>IU</v>
      </c>
      <c r="C102" s="495">
        <f>IF(D94="","-",+C101+1)</f>
        <v>2012</v>
      </c>
      <c r="D102" s="496">
        <v>960316.86862068961</v>
      </c>
      <c r="E102" s="498">
        <v>16996.161034482757</v>
      </c>
      <c r="F102" s="505">
        <v>943320.70758620685</v>
      </c>
      <c r="G102" s="505">
        <v>951818.78810344823</v>
      </c>
      <c r="H102" s="498">
        <v>113462.4664066085</v>
      </c>
      <c r="I102" s="499">
        <v>113462.4664066085</v>
      </c>
      <c r="J102" s="504">
        <v>0</v>
      </c>
      <c r="K102" s="504"/>
      <c r="L102" s="506">
        <f t="shared" si="23"/>
        <v>113462.4664066085</v>
      </c>
      <c r="M102" s="504">
        <f t="shared" ref="M102:M107" si="28">IF(L102&lt;&gt;0,+H102-L102,0)</f>
        <v>0</v>
      </c>
      <c r="N102" s="506">
        <f t="shared" si="24"/>
        <v>113462.4664066085</v>
      </c>
      <c r="O102" s="504">
        <f>IF(N102&lt;&gt;0,+I102-N102,0)</f>
        <v>0</v>
      </c>
      <c r="P102" s="504">
        <f>+O102-M102</f>
        <v>0</v>
      </c>
      <c r="Q102" s="243"/>
      <c r="R102" s="243"/>
      <c r="S102" s="243"/>
      <c r="T102" s="243"/>
      <c r="U102" s="243"/>
    </row>
    <row r="103" spans="1:21">
      <c r="B103" s="145" t="str">
        <f t="shared" si="21"/>
        <v/>
      </c>
      <c r="C103" s="495">
        <f>IF(D94="","-",+C102+1)</f>
        <v>2013</v>
      </c>
      <c r="D103" s="496">
        <v>943320.70758620685</v>
      </c>
      <c r="E103" s="498">
        <v>16996.161034482757</v>
      </c>
      <c r="F103" s="505">
        <v>926324.54655172408</v>
      </c>
      <c r="G103" s="505">
        <v>934822.62706896546</v>
      </c>
      <c r="H103" s="498">
        <v>123248.05893507614</v>
      </c>
      <c r="I103" s="499">
        <v>123248.05893507614</v>
      </c>
      <c r="J103" s="504">
        <v>0</v>
      </c>
      <c r="K103" s="504"/>
      <c r="L103" s="506">
        <f t="shared" si="23"/>
        <v>123248.05893507614</v>
      </c>
      <c r="M103" s="504">
        <f t="shared" si="28"/>
        <v>0</v>
      </c>
      <c r="N103" s="506">
        <f t="shared" si="24"/>
        <v>123248.05893507614</v>
      </c>
      <c r="O103" s="504">
        <f>IF(N103&lt;&gt;0,+I103-N103,0)</f>
        <v>0</v>
      </c>
      <c r="P103" s="504">
        <f>+O103-M103</f>
        <v>0</v>
      </c>
      <c r="Q103" s="243"/>
      <c r="R103" s="243"/>
      <c r="S103" s="243"/>
      <c r="T103" s="243"/>
      <c r="U103" s="243"/>
    </row>
    <row r="104" spans="1:21">
      <c r="B104" s="145" t="str">
        <f t="shared" si="21"/>
        <v/>
      </c>
      <c r="C104" s="495">
        <f>IF(D94="","-",+C103+1)</f>
        <v>2014</v>
      </c>
      <c r="D104" s="496">
        <v>926324.54655172408</v>
      </c>
      <c r="E104" s="498">
        <v>16996.161034482757</v>
      </c>
      <c r="F104" s="505">
        <v>909328.38551724132</v>
      </c>
      <c r="G104" s="505">
        <v>917826.4660344827</v>
      </c>
      <c r="H104" s="498">
        <v>115702.36527195803</v>
      </c>
      <c r="I104" s="499">
        <v>115702.36527195803</v>
      </c>
      <c r="J104" s="504">
        <v>0</v>
      </c>
      <c r="K104" s="504"/>
      <c r="L104" s="506">
        <f t="shared" si="23"/>
        <v>115702.36527195803</v>
      </c>
      <c r="M104" s="504">
        <f t="shared" si="28"/>
        <v>0</v>
      </c>
      <c r="N104" s="506">
        <f t="shared" si="24"/>
        <v>115702.36527195803</v>
      </c>
      <c r="O104" s="504">
        <f>IF(N104&lt;&gt;0,+I104-N104,0)</f>
        <v>0</v>
      </c>
      <c r="P104" s="504">
        <f>+O104-M104</f>
        <v>0</v>
      </c>
      <c r="Q104" s="243"/>
      <c r="R104" s="243"/>
      <c r="S104" s="243"/>
      <c r="T104" s="243"/>
      <c r="U104" s="243"/>
    </row>
    <row r="105" spans="1:21">
      <c r="B105" s="145" t="str">
        <f t="shared" si="21"/>
        <v/>
      </c>
      <c r="C105" s="495">
        <f>IF(D94="","-",+C104+1)</f>
        <v>2015</v>
      </c>
      <c r="D105" s="496">
        <v>909328.38551724132</v>
      </c>
      <c r="E105" s="498">
        <v>20537.027916666666</v>
      </c>
      <c r="F105" s="505">
        <v>888791.35760057461</v>
      </c>
      <c r="G105" s="505">
        <v>899059.87155890791</v>
      </c>
      <c r="H105" s="498">
        <v>120628.84968807173</v>
      </c>
      <c r="I105" s="499">
        <v>120628.84968807173</v>
      </c>
      <c r="J105" s="504">
        <f t="shared" si="22"/>
        <v>0</v>
      </c>
      <c r="K105" s="504"/>
      <c r="L105" s="506">
        <f t="shared" si="23"/>
        <v>120628.84968807173</v>
      </c>
      <c r="M105" s="504">
        <f t="shared" si="28"/>
        <v>0</v>
      </c>
      <c r="N105" s="506">
        <f t="shared" si="24"/>
        <v>120628.84968807173</v>
      </c>
      <c r="O105" s="504">
        <f t="shared" si="25"/>
        <v>0</v>
      </c>
      <c r="P105" s="504">
        <f t="shared" si="26"/>
        <v>0</v>
      </c>
      <c r="Q105" s="243"/>
      <c r="R105" s="243"/>
      <c r="S105" s="243"/>
      <c r="T105" s="243"/>
      <c r="U105" s="243"/>
    </row>
    <row r="106" spans="1:21">
      <c r="B106" s="145" t="str">
        <f t="shared" si="21"/>
        <v/>
      </c>
      <c r="C106" s="495">
        <f>IF(D94="","-",+C105+1)</f>
        <v>2016</v>
      </c>
      <c r="D106" s="496">
        <v>888791.35760057461</v>
      </c>
      <c r="E106" s="498">
        <v>19328.967450980392</v>
      </c>
      <c r="F106" s="505">
        <v>869462.39014959417</v>
      </c>
      <c r="G106" s="505">
        <v>879126.87387508433</v>
      </c>
      <c r="H106" s="498">
        <v>114599.47152988262</v>
      </c>
      <c r="I106" s="499">
        <v>114599.47152988262</v>
      </c>
      <c r="J106" s="504">
        <f t="shared" si="22"/>
        <v>0</v>
      </c>
      <c r="K106" s="504"/>
      <c r="L106" s="506">
        <f>H106</f>
        <v>114599.47152988262</v>
      </c>
      <c r="M106" s="504">
        <f t="shared" si="28"/>
        <v>0</v>
      </c>
      <c r="N106" s="506">
        <f>I106</f>
        <v>114599.47152988262</v>
      </c>
      <c r="O106" s="504">
        <f>IF(N106&lt;&gt;0,+I106-N106,0)</f>
        <v>0</v>
      </c>
      <c r="P106" s="504">
        <f>+O106-M106</f>
        <v>0</v>
      </c>
      <c r="Q106" s="243"/>
      <c r="R106" s="243"/>
      <c r="S106" s="243"/>
      <c r="T106" s="243"/>
      <c r="U106" s="243"/>
    </row>
    <row r="107" spans="1:21">
      <c r="B107" s="145" t="str">
        <f t="shared" si="21"/>
        <v/>
      </c>
      <c r="C107" s="495">
        <f>IF(D94="","-",+C106+1)</f>
        <v>2017</v>
      </c>
      <c r="D107" s="496">
        <v>869462.39014959417</v>
      </c>
      <c r="E107" s="498">
        <v>24644.433499999999</v>
      </c>
      <c r="F107" s="505">
        <v>844817.95664959413</v>
      </c>
      <c r="G107" s="505">
        <v>857140.17339959415</v>
      </c>
      <c r="H107" s="498">
        <v>125217.71649626724</v>
      </c>
      <c r="I107" s="499">
        <v>125217.71649626724</v>
      </c>
      <c r="J107" s="504">
        <f t="shared" si="22"/>
        <v>0</v>
      </c>
      <c r="K107" s="504"/>
      <c r="L107" s="506">
        <f>H107</f>
        <v>125217.71649626724</v>
      </c>
      <c r="M107" s="504">
        <f t="shared" si="28"/>
        <v>0</v>
      </c>
      <c r="N107" s="506">
        <f>I107</f>
        <v>125217.71649626724</v>
      </c>
      <c r="O107" s="504">
        <f>IF(N107&lt;&gt;0,+I107-N107,0)</f>
        <v>0</v>
      </c>
      <c r="P107" s="504">
        <f>+O107-M107</f>
        <v>0</v>
      </c>
      <c r="Q107" s="243"/>
      <c r="R107" s="243"/>
      <c r="S107" s="243"/>
      <c r="T107" s="243"/>
      <c r="U107" s="243"/>
    </row>
    <row r="108" spans="1:21">
      <c r="B108" s="145" t="str">
        <f t="shared" si="21"/>
        <v/>
      </c>
      <c r="C108" s="495">
        <f>IF(D94="","-",+C107+1)</f>
        <v>2018</v>
      </c>
      <c r="D108" s="496">
        <v>844817.95664959413</v>
      </c>
      <c r="E108" s="498">
        <v>27382.703888888889</v>
      </c>
      <c r="F108" s="505">
        <v>817435.25276070519</v>
      </c>
      <c r="G108" s="505">
        <v>831126.60470514966</v>
      </c>
      <c r="H108" s="498">
        <v>115118.46379296975</v>
      </c>
      <c r="I108" s="499">
        <v>115118.46379296975</v>
      </c>
      <c r="J108" s="504">
        <f t="shared" si="22"/>
        <v>0</v>
      </c>
      <c r="K108" s="504"/>
      <c r="L108" s="506">
        <f>H108</f>
        <v>115118.46379296975</v>
      </c>
      <c r="M108" s="504">
        <f t="shared" ref="M108" si="29">IF(L108&lt;&gt;0,+H108-L108,0)</f>
        <v>0</v>
      </c>
      <c r="N108" s="506">
        <f>I108</f>
        <v>115118.46379296975</v>
      </c>
      <c r="O108" s="504">
        <f>IF(N108&lt;&gt;0,+I108-N108,0)</f>
        <v>0</v>
      </c>
      <c r="P108" s="504">
        <f>+O108-M108</f>
        <v>0</v>
      </c>
      <c r="Q108" s="243"/>
      <c r="R108" s="243"/>
      <c r="S108" s="243"/>
      <c r="T108" s="243"/>
      <c r="U108" s="243"/>
    </row>
    <row r="109" spans="1:21">
      <c r="B109" s="145" t="str">
        <f t="shared" si="21"/>
        <v/>
      </c>
      <c r="C109" s="495">
        <f>IF(D94="","-",+C108+1)</f>
        <v>2019</v>
      </c>
      <c r="D109" s="496">
        <v>817435.25276070519</v>
      </c>
      <c r="E109" s="498">
        <v>27382.703888888889</v>
      </c>
      <c r="F109" s="505">
        <v>790052.54887181625</v>
      </c>
      <c r="G109" s="505">
        <v>803743.90081626072</v>
      </c>
      <c r="H109" s="498">
        <v>112227.87850750366</v>
      </c>
      <c r="I109" s="499">
        <v>112227.87850750366</v>
      </c>
      <c r="J109" s="504">
        <f t="shared" si="22"/>
        <v>0</v>
      </c>
      <c r="K109" s="504"/>
      <c r="L109" s="506">
        <f>H109</f>
        <v>112227.87850750366</v>
      </c>
      <c r="M109" s="504">
        <f t="shared" ref="M109:M110" si="30">IF(L109&lt;&gt;0,+H109-L109,0)</f>
        <v>0</v>
      </c>
      <c r="N109" s="506">
        <f>I109</f>
        <v>112227.87850750366</v>
      </c>
      <c r="O109" s="504">
        <f>IF(N109&lt;&gt;0,+I109-N109,0)</f>
        <v>0</v>
      </c>
      <c r="P109" s="504">
        <f t="shared" si="26"/>
        <v>0</v>
      </c>
      <c r="Q109" s="243"/>
      <c r="R109" s="243"/>
      <c r="S109" s="243"/>
      <c r="T109" s="243"/>
      <c r="U109" s="243"/>
    </row>
    <row r="110" spans="1:21">
      <c r="B110" s="145" t="str">
        <f t="shared" si="21"/>
        <v/>
      </c>
      <c r="C110" s="495">
        <f>IF(D94="","-",+C109+1)</f>
        <v>2020</v>
      </c>
      <c r="D110" s="496">
        <v>790052.54887181625</v>
      </c>
      <c r="E110" s="498">
        <v>35206.333571428571</v>
      </c>
      <c r="F110" s="505">
        <v>754846.2153003877</v>
      </c>
      <c r="G110" s="505">
        <v>772449.38208610192</v>
      </c>
      <c r="H110" s="498">
        <v>117405.37509665726</v>
      </c>
      <c r="I110" s="499">
        <v>117405.37509665726</v>
      </c>
      <c r="J110" s="504">
        <f t="shared" si="22"/>
        <v>0</v>
      </c>
      <c r="K110" s="504"/>
      <c r="L110" s="506">
        <f>H110</f>
        <v>117405.37509665726</v>
      </c>
      <c r="M110" s="504">
        <f t="shared" si="30"/>
        <v>0</v>
      </c>
      <c r="N110" s="506">
        <f>I110</f>
        <v>117405.37509665726</v>
      </c>
      <c r="O110" s="504">
        <f>IF(N110&lt;&gt;0,+I110-N110,0)</f>
        <v>0</v>
      </c>
      <c r="P110" s="504">
        <f t="shared" si="26"/>
        <v>0</v>
      </c>
      <c r="Q110" s="243"/>
      <c r="R110" s="243"/>
      <c r="S110" s="243"/>
      <c r="T110" s="243"/>
      <c r="U110" s="243"/>
    </row>
    <row r="111" spans="1:21">
      <c r="B111" s="145" t="str">
        <f t="shared" si="21"/>
        <v/>
      </c>
      <c r="C111" s="495">
        <f>IF(D94="","-",+C110+1)</f>
        <v>2021</v>
      </c>
      <c r="D111" s="349">
        <f>IF(F110+SUM(E$100:E110)=D$93,F110,D$93-SUM(E$100:E110))</f>
        <v>754846.2153003877</v>
      </c>
      <c r="E111" s="509">
        <f>IF(+J97&lt;F110,J97,D111)</f>
        <v>46941.778095238093</v>
      </c>
      <c r="F111" s="510">
        <f t="shared" ref="F111:F131" si="31">+D111-E111</f>
        <v>707904.43720514956</v>
      </c>
      <c r="G111" s="510">
        <f t="shared" ref="G111:G131" si="32">+(F111+D111)/2</f>
        <v>731375.32625276863</v>
      </c>
      <c r="H111" s="523">
        <f t="shared" ref="H111:H155" si="33">+J$95*G111+E111</f>
        <v>130873.51379501546</v>
      </c>
      <c r="I111" s="572">
        <f t="shared" ref="I111:I155" si="34">+J$96*G111+E111</f>
        <v>130873.51379501546</v>
      </c>
      <c r="J111" s="504">
        <f t="shared" si="22"/>
        <v>0</v>
      </c>
      <c r="K111" s="504"/>
      <c r="L111" s="512"/>
      <c r="M111" s="504">
        <f t="shared" si="27"/>
        <v>0</v>
      </c>
      <c r="N111" s="512"/>
      <c r="O111" s="504">
        <f t="shared" si="25"/>
        <v>0</v>
      </c>
      <c r="P111" s="504">
        <f t="shared" si="26"/>
        <v>0</v>
      </c>
      <c r="Q111" s="243"/>
      <c r="R111" s="243"/>
      <c r="S111" s="243"/>
      <c r="T111" s="243"/>
      <c r="U111" s="243"/>
    </row>
    <row r="112" spans="1:21">
      <c r="B112" s="145" t="str">
        <f t="shared" si="21"/>
        <v/>
      </c>
      <c r="C112" s="495">
        <f>IF(D94="","-",+C111+1)</f>
        <v>2022</v>
      </c>
      <c r="D112" s="349">
        <f>IF(F111+SUM(E$100:E111)=D$93,F111,D$93-SUM(E$100:E111))</f>
        <v>707904.43720514956</v>
      </c>
      <c r="E112" s="509">
        <f>IF(+J97&lt;F111,J97,D112)</f>
        <v>46941.778095238093</v>
      </c>
      <c r="F112" s="510">
        <f t="shared" si="31"/>
        <v>660962.65910991142</v>
      </c>
      <c r="G112" s="510">
        <f t="shared" si="32"/>
        <v>684433.54815753049</v>
      </c>
      <c r="H112" s="523">
        <f t="shared" si="33"/>
        <v>125486.53289622936</v>
      </c>
      <c r="I112" s="572">
        <f t="shared" si="34"/>
        <v>125486.53289622936</v>
      </c>
      <c r="J112" s="504">
        <f t="shared" si="22"/>
        <v>0</v>
      </c>
      <c r="K112" s="504"/>
      <c r="L112" s="512"/>
      <c r="M112" s="504">
        <f t="shared" si="27"/>
        <v>0</v>
      </c>
      <c r="N112" s="512"/>
      <c r="O112" s="504">
        <f t="shared" si="25"/>
        <v>0</v>
      </c>
      <c r="P112" s="504">
        <f t="shared" si="26"/>
        <v>0</v>
      </c>
      <c r="Q112" s="243"/>
      <c r="R112" s="243"/>
      <c r="S112" s="243"/>
      <c r="T112" s="243"/>
      <c r="U112" s="243"/>
    </row>
    <row r="113" spans="2:21">
      <c r="B113" s="145" t="str">
        <f t="shared" si="21"/>
        <v/>
      </c>
      <c r="C113" s="495">
        <f>IF(D94="","-",+C112+1)</f>
        <v>2023</v>
      </c>
      <c r="D113" s="349">
        <f>IF(F112+SUM(E$100:E112)=D$93,F112,D$93-SUM(E$100:E112))</f>
        <v>660962.65910991142</v>
      </c>
      <c r="E113" s="509">
        <f>IF(+J97&lt;F112,J97,D113)</f>
        <v>46941.778095238093</v>
      </c>
      <c r="F113" s="510">
        <f t="shared" si="31"/>
        <v>614020.88101467327</v>
      </c>
      <c r="G113" s="510">
        <f t="shared" si="32"/>
        <v>637491.77006229234</v>
      </c>
      <c r="H113" s="523">
        <f t="shared" si="33"/>
        <v>120099.55199744325</v>
      </c>
      <c r="I113" s="572">
        <f t="shared" si="34"/>
        <v>120099.55199744325</v>
      </c>
      <c r="J113" s="504">
        <f t="shared" si="22"/>
        <v>0</v>
      </c>
      <c r="K113" s="504"/>
      <c r="L113" s="512"/>
      <c r="M113" s="504">
        <f t="shared" si="27"/>
        <v>0</v>
      </c>
      <c r="N113" s="512"/>
      <c r="O113" s="504">
        <f t="shared" si="25"/>
        <v>0</v>
      </c>
      <c r="P113" s="504">
        <f t="shared" si="26"/>
        <v>0</v>
      </c>
      <c r="Q113" s="243"/>
      <c r="R113" s="243"/>
      <c r="S113" s="243"/>
      <c r="T113" s="243"/>
      <c r="U113" s="243"/>
    </row>
    <row r="114" spans="2:21">
      <c r="B114" s="145" t="str">
        <f t="shared" si="21"/>
        <v/>
      </c>
      <c r="C114" s="495">
        <f>IF(D94="","-",+C113+1)</f>
        <v>2024</v>
      </c>
      <c r="D114" s="349">
        <f>IF(F113+SUM(E$100:E113)=D$93,F113,D$93-SUM(E$100:E113))</f>
        <v>614020.88101467327</v>
      </c>
      <c r="E114" s="509">
        <f>IF(+J97&lt;F113,J97,D114)</f>
        <v>46941.778095238093</v>
      </c>
      <c r="F114" s="510">
        <f t="shared" si="31"/>
        <v>567079.10291943513</v>
      </c>
      <c r="G114" s="510">
        <f t="shared" si="32"/>
        <v>590549.9919670542</v>
      </c>
      <c r="H114" s="523">
        <f t="shared" si="33"/>
        <v>114712.57109865712</v>
      </c>
      <c r="I114" s="572">
        <f t="shared" si="34"/>
        <v>114712.57109865712</v>
      </c>
      <c r="J114" s="504">
        <f t="shared" si="22"/>
        <v>0</v>
      </c>
      <c r="K114" s="504"/>
      <c r="L114" s="512"/>
      <c r="M114" s="504">
        <f t="shared" si="27"/>
        <v>0</v>
      </c>
      <c r="N114" s="512"/>
      <c r="O114" s="504">
        <f t="shared" si="25"/>
        <v>0</v>
      </c>
      <c r="P114" s="504">
        <f t="shared" si="26"/>
        <v>0</v>
      </c>
      <c r="Q114" s="243"/>
      <c r="R114" s="243"/>
      <c r="S114" s="243"/>
      <c r="T114" s="243"/>
      <c r="U114" s="243"/>
    </row>
    <row r="115" spans="2:21">
      <c r="B115" s="145" t="str">
        <f t="shared" si="21"/>
        <v/>
      </c>
      <c r="C115" s="495">
        <f>IF(D94="","-",+C114+1)</f>
        <v>2025</v>
      </c>
      <c r="D115" s="349">
        <f>IF(F114+SUM(E$100:E114)=D$93,F114,D$93-SUM(E$100:E114))</f>
        <v>567079.10291943513</v>
      </c>
      <c r="E115" s="509">
        <f>IF(+J97&lt;F114,J97,D115)</f>
        <v>46941.778095238093</v>
      </c>
      <c r="F115" s="510">
        <f t="shared" si="31"/>
        <v>520137.32482419704</v>
      </c>
      <c r="G115" s="510">
        <f t="shared" si="32"/>
        <v>543608.21387181606</v>
      </c>
      <c r="H115" s="523">
        <f t="shared" si="33"/>
        <v>109325.59019987102</v>
      </c>
      <c r="I115" s="572">
        <f t="shared" si="34"/>
        <v>109325.59019987102</v>
      </c>
      <c r="J115" s="504">
        <f t="shared" si="22"/>
        <v>0</v>
      </c>
      <c r="K115" s="504"/>
      <c r="L115" s="512"/>
      <c r="M115" s="504">
        <f t="shared" si="27"/>
        <v>0</v>
      </c>
      <c r="N115" s="512"/>
      <c r="O115" s="504">
        <f t="shared" si="25"/>
        <v>0</v>
      </c>
      <c r="P115" s="504">
        <f t="shared" si="26"/>
        <v>0</v>
      </c>
      <c r="Q115" s="243"/>
      <c r="R115" s="243"/>
      <c r="S115" s="243"/>
      <c r="T115" s="243"/>
      <c r="U115" s="243"/>
    </row>
    <row r="116" spans="2:21">
      <c r="B116" s="145" t="str">
        <f t="shared" si="21"/>
        <v/>
      </c>
      <c r="C116" s="495">
        <f>IF(D94="","-",+C115+1)</f>
        <v>2026</v>
      </c>
      <c r="D116" s="349">
        <f>IF(F115+SUM(E$100:E115)=D$93,F115,D$93-SUM(E$100:E115))</f>
        <v>520137.32482419704</v>
      </c>
      <c r="E116" s="509">
        <f>IF(+J97&lt;F115,J97,D116)</f>
        <v>46941.778095238093</v>
      </c>
      <c r="F116" s="510">
        <f t="shared" si="31"/>
        <v>473195.54672895896</v>
      </c>
      <c r="G116" s="510">
        <f t="shared" si="32"/>
        <v>496666.43577657803</v>
      </c>
      <c r="H116" s="523">
        <f t="shared" si="33"/>
        <v>103938.60930108491</v>
      </c>
      <c r="I116" s="572">
        <f t="shared" si="34"/>
        <v>103938.60930108491</v>
      </c>
      <c r="J116" s="504">
        <f t="shared" si="22"/>
        <v>0</v>
      </c>
      <c r="K116" s="504"/>
      <c r="L116" s="512"/>
      <c r="M116" s="504">
        <f t="shared" si="27"/>
        <v>0</v>
      </c>
      <c r="N116" s="512"/>
      <c r="O116" s="504">
        <f t="shared" si="25"/>
        <v>0</v>
      </c>
      <c r="P116" s="504">
        <f t="shared" si="26"/>
        <v>0</v>
      </c>
      <c r="Q116" s="243"/>
      <c r="R116" s="243"/>
      <c r="S116" s="243"/>
      <c r="T116" s="243"/>
      <c r="U116" s="243"/>
    </row>
    <row r="117" spans="2:21">
      <c r="B117" s="145" t="str">
        <f t="shared" si="21"/>
        <v/>
      </c>
      <c r="C117" s="495">
        <f>IF(D94="","-",+C116+1)</f>
        <v>2027</v>
      </c>
      <c r="D117" s="349">
        <f>IF(F116+SUM(E$100:E116)=D$93,F116,D$93-SUM(E$100:E116))</f>
        <v>473195.54672895896</v>
      </c>
      <c r="E117" s="509">
        <f>IF(+J97&lt;F116,J97,D117)</f>
        <v>46941.778095238093</v>
      </c>
      <c r="F117" s="510">
        <f t="shared" si="31"/>
        <v>426253.76863372087</v>
      </c>
      <c r="G117" s="510">
        <f t="shared" si="32"/>
        <v>449724.65768133989</v>
      </c>
      <c r="H117" s="523">
        <f t="shared" si="33"/>
        <v>98551.628402298797</v>
      </c>
      <c r="I117" s="572">
        <f t="shared" si="34"/>
        <v>98551.628402298797</v>
      </c>
      <c r="J117" s="504">
        <f t="shared" si="22"/>
        <v>0</v>
      </c>
      <c r="K117" s="504"/>
      <c r="L117" s="512"/>
      <c r="M117" s="504">
        <f t="shared" si="27"/>
        <v>0</v>
      </c>
      <c r="N117" s="512"/>
      <c r="O117" s="504">
        <f t="shared" si="25"/>
        <v>0</v>
      </c>
      <c r="P117" s="504">
        <f t="shared" si="26"/>
        <v>0</v>
      </c>
      <c r="Q117" s="243"/>
      <c r="R117" s="243"/>
      <c r="S117" s="243"/>
      <c r="T117" s="243"/>
      <c r="U117" s="243"/>
    </row>
    <row r="118" spans="2:21">
      <c r="B118" s="145" t="str">
        <f t="shared" si="21"/>
        <v/>
      </c>
      <c r="C118" s="495">
        <f>IF(D94="","-",+C117+1)</f>
        <v>2028</v>
      </c>
      <c r="D118" s="349">
        <f>IF(F117+SUM(E$100:E117)=D$93,F117,D$93-SUM(E$100:E117))</f>
        <v>426253.76863372087</v>
      </c>
      <c r="E118" s="509">
        <f>IF(+J97&lt;F117,J97,D118)</f>
        <v>46941.778095238093</v>
      </c>
      <c r="F118" s="510">
        <f t="shared" si="31"/>
        <v>379311.99053848279</v>
      </c>
      <c r="G118" s="510">
        <f t="shared" si="32"/>
        <v>402782.87958610186</v>
      </c>
      <c r="H118" s="523">
        <f t="shared" si="33"/>
        <v>93164.647503512708</v>
      </c>
      <c r="I118" s="572">
        <f t="shared" si="34"/>
        <v>93164.647503512708</v>
      </c>
      <c r="J118" s="504">
        <f t="shared" si="22"/>
        <v>0</v>
      </c>
      <c r="K118" s="504"/>
      <c r="L118" s="512"/>
      <c r="M118" s="504">
        <f t="shared" si="27"/>
        <v>0</v>
      </c>
      <c r="N118" s="512"/>
      <c r="O118" s="504">
        <f t="shared" si="25"/>
        <v>0</v>
      </c>
      <c r="P118" s="504">
        <f t="shared" si="26"/>
        <v>0</v>
      </c>
      <c r="Q118" s="243"/>
      <c r="R118" s="243"/>
      <c r="S118" s="243"/>
      <c r="T118" s="243"/>
      <c r="U118" s="243"/>
    </row>
    <row r="119" spans="2:21">
      <c r="B119" s="145" t="str">
        <f t="shared" si="21"/>
        <v/>
      </c>
      <c r="C119" s="495">
        <f>IF(D94="","-",+C118+1)</f>
        <v>2029</v>
      </c>
      <c r="D119" s="349">
        <f>IF(F118+SUM(E$100:E118)=D$93,F118,D$93-SUM(E$100:E118))</f>
        <v>379311.99053848279</v>
      </c>
      <c r="E119" s="509">
        <f>IF(+J97&lt;F118,J97,D119)</f>
        <v>46941.778095238093</v>
      </c>
      <c r="F119" s="510">
        <f t="shared" si="31"/>
        <v>332370.2124432447</v>
      </c>
      <c r="G119" s="510">
        <f t="shared" si="32"/>
        <v>355841.10149086372</v>
      </c>
      <c r="H119" s="523">
        <f t="shared" si="33"/>
        <v>87777.666604726575</v>
      </c>
      <c r="I119" s="572">
        <f t="shared" si="34"/>
        <v>87777.666604726575</v>
      </c>
      <c r="J119" s="504">
        <f t="shared" si="22"/>
        <v>0</v>
      </c>
      <c r="K119" s="504"/>
      <c r="L119" s="512"/>
      <c r="M119" s="504">
        <f t="shared" si="27"/>
        <v>0</v>
      </c>
      <c r="N119" s="512"/>
      <c r="O119" s="504">
        <f t="shared" si="25"/>
        <v>0</v>
      </c>
      <c r="P119" s="504">
        <f t="shared" si="26"/>
        <v>0</v>
      </c>
      <c r="Q119" s="243"/>
      <c r="R119" s="243"/>
      <c r="S119" s="243"/>
      <c r="T119" s="243"/>
      <c r="U119" s="243"/>
    </row>
    <row r="120" spans="2:21">
      <c r="B120" s="145" t="str">
        <f t="shared" si="21"/>
        <v/>
      </c>
      <c r="C120" s="495">
        <f>IF(D94="","-",+C119+1)</f>
        <v>2030</v>
      </c>
      <c r="D120" s="349">
        <f>IF(F119+SUM(E$100:E119)=D$93,F119,D$93-SUM(E$100:E119))</f>
        <v>332370.2124432447</v>
      </c>
      <c r="E120" s="509">
        <f>IF(+J97&lt;F119,J97,D120)</f>
        <v>46941.778095238093</v>
      </c>
      <c r="F120" s="510">
        <f t="shared" si="31"/>
        <v>285428.43434800662</v>
      </c>
      <c r="G120" s="510">
        <f t="shared" si="32"/>
        <v>308899.32339562569</v>
      </c>
      <c r="H120" s="523">
        <f t="shared" si="33"/>
        <v>82390.685705940472</v>
      </c>
      <c r="I120" s="572">
        <f t="shared" si="34"/>
        <v>82390.685705940472</v>
      </c>
      <c r="J120" s="504">
        <f t="shared" si="22"/>
        <v>0</v>
      </c>
      <c r="K120" s="504"/>
      <c r="L120" s="512"/>
      <c r="M120" s="504">
        <f t="shared" si="27"/>
        <v>0</v>
      </c>
      <c r="N120" s="512"/>
      <c r="O120" s="504">
        <f t="shared" si="25"/>
        <v>0</v>
      </c>
      <c r="P120" s="504">
        <f t="shared" si="26"/>
        <v>0</v>
      </c>
      <c r="Q120" s="243"/>
      <c r="R120" s="243"/>
      <c r="S120" s="243"/>
      <c r="T120" s="243"/>
      <c r="U120" s="243"/>
    </row>
    <row r="121" spans="2:21">
      <c r="B121" s="145" t="str">
        <f t="shared" si="21"/>
        <v/>
      </c>
      <c r="C121" s="495">
        <f>IF(D94="","-",+C120+1)</f>
        <v>2031</v>
      </c>
      <c r="D121" s="349">
        <f>IF(F120+SUM(E$100:E120)=D$93,F120,D$93-SUM(E$100:E120))</f>
        <v>285428.43434800662</v>
      </c>
      <c r="E121" s="509">
        <f>IF(+J97&lt;F120,J97,D121)</f>
        <v>46941.778095238093</v>
      </c>
      <c r="F121" s="510">
        <f t="shared" si="31"/>
        <v>238486.65625276853</v>
      </c>
      <c r="G121" s="510">
        <f t="shared" si="32"/>
        <v>261957.54530038757</v>
      </c>
      <c r="H121" s="523">
        <f t="shared" si="33"/>
        <v>77003.704807154369</v>
      </c>
      <c r="I121" s="572">
        <f t="shared" si="34"/>
        <v>77003.704807154369</v>
      </c>
      <c r="J121" s="504">
        <f t="shared" si="22"/>
        <v>0</v>
      </c>
      <c r="K121" s="504"/>
      <c r="L121" s="512"/>
      <c r="M121" s="504">
        <f t="shared" si="27"/>
        <v>0</v>
      </c>
      <c r="N121" s="512"/>
      <c r="O121" s="504">
        <f t="shared" si="25"/>
        <v>0</v>
      </c>
      <c r="P121" s="504">
        <f t="shared" si="26"/>
        <v>0</v>
      </c>
      <c r="Q121" s="243"/>
      <c r="R121" s="243"/>
      <c r="S121" s="243"/>
      <c r="T121" s="243"/>
      <c r="U121" s="243"/>
    </row>
    <row r="122" spans="2:21">
      <c r="B122" s="145" t="str">
        <f t="shared" si="21"/>
        <v/>
      </c>
      <c r="C122" s="495">
        <f>IF(D94="","-",+C121+1)</f>
        <v>2032</v>
      </c>
      <c r="D122" s="349">
        <f>IF(F121+SUM(E$100:E121)=D$93,F121,D$93-SUM(E$100:E121))</f>
        <v>238486.65625276853</v>
      </c>
      <c r="E122" s="509">
        <f>IF(+J97&lt;F121,J97,D122)</f>
        <v>46941.778095238093</v>
      </c>
      <c r="F122" s="510">
        <f t="shared" si="31"/>
        <v>191544.87815753045</v>
      </c>
      <c r="G122" s="510">
        <f t="shared" si="32"/>
        <v>215015.76720514949</v>
      </c>
      <c r="H122" s="523">
        <f t="shared" si="33"/>
        <v>71616.723908368265</v>
      </c>
      <c r="I122" s="572">
        <f t="shared" si="34"/>
        <v>71616.723908368265</v>
      </c>
      <c r="J122" s="504">
        <f t="shared" si="22"/>
        <v>0</v>
      </c>
      <c r="K122" s="504"/>
      <c r="L122" s="512"/>
      <c r="M122" s="504">
        <f t="shared" si="27"/>
        <v>0</v>
      </c>
      <c r="N122" s="512"/>
      <c r="O122" s="504">
        <f t="shared" si="25"/>
        <v>0</v>
      </c>
      <c r="P122" s="504">
        <f t="shared" si="26"/>
        <v>0</v>
      </c>
      <c r="Q122" s="243"/>
      <c r="R122" s="243"/>
      <c r="S122" s="243"/>
      <c r="T122" s="243"/>
      <c r="U122" s="243"/>
    </row>
    <row r="123" spans="2:21">
      <c r="B123" s="145" t="str">
        <f t="shared" si="21"/>
        <v/>
      </c>
      <c r="C123" s="495">
        <f>IF(D94="","-",+C122+1)</f>
        <v>2033</v>
      </c>
      <c r="D123" s="349">
        <f>IF(F122+SUM(E$100:E122)=D$93,F122,D$93-SUM(E$100:E122))</f>
        <v>191544.87815753045</v>
      </c>
      <c r="E123" s="509">
        <f>IF(+J97&lt;F122,J97,D123)</f>
        <v>46941.778095238093</v>
      </c>
      <c r="F123" s="510">
        <f t="shared" si="31"/>
        <v>144603.10006229236</v>
      </c>
      <c r="G123" s="510">
        <f t="shared" si="32"/>
        <v>168073.9891099114</v>
      </c>
      <c r="H123" s="523">
        <f t="shared" si="33"/>
        <v>66229.743009582162</v>
      </c>
      <c r="I123" s="572">
        <f t="shared" si="34"/>
        <v>66229.743009582162</v>
      </c>
      <c r="J123" s="504">
        <f t="shared" si="22"/>
        <v>0</v>
      </c>
      <c r="K123" s="504"/>
      <c r="L123" s="512"/>
      <c r="M123" s="504">
        <f t="shared" si="27"/>
        <v>0</v>
      </c>
      <c r="N123" s="512"/>
      <c r="O123" s="504">
        <f t="shared" si="25"/>
        <v>0</v>
      </c>
      <c r="P123" s="504">
        <f t="shared" si="26"/>
        <v>0</v>
      </c>
      <c r="Q123" s="243"/>
      <c r="R123" s="243"/>
      <c r="S123" s="243"/>
      <c r="T123" s="243"/>
      <c r="U123" s="243"/>
    </row>
    <row r="124" spans="2:21">
      <c r="B124" s="145" t="str">
        <f t="shared" si="21"/>
        <v/>
      </c>
      <c r="C124" s="495">
        <f>IF(D94="","-",+C123+1)</f>
        <v>2034</v>
      </c>
      <c r="D124" s="349">
        <f>IF(F123+SUM(E$100:E123)=D$93,F123,D$93-SUM(E$100:E123))</f>
        <v>144603.10006229236</v>
      </c>
      <c r="E124" s="509">
        <f>IF(+J97&lt;F123,J97,D124)</f>
        <v>46941.778095238093</v>
      </c>
      <c r="F124" s="510">
        <f t="shared" si="31"/>
        <v>97661.321967054275</v>
      </c>
      <c r="G124" s="510">
        <f t="shared" si="32"/>
        <v>121132.21101467332</v>
      </c>
      <c r="H124" s="523">
        <f t="shared" si="33"/>
        <v>60842.762110796051</v>
      </c>
      <c r="I124" s="572">
        <f t="shared" si="34"/>
        <v>60842.762110796051</v>
      </c>
      <c r="J124" s="504">
        <f t="shared" si="22"/>
        <v>0</v>
      </c>
      <c r="K124" s="504"/>
      <c r="L124" s="512"/>
      <c r="M124" s="504">
        <f t="shared" si="27"/>
        <v>0</v>
      </c>
      <c r="N124" s="512"/>
      <c r="O124" s="504">
        <f t="shared" si="25"/>
        <v>0</v>
      </c>
      <c r="P124" s="504">
        <f t="shared" si="26"/>
        <v>0</v>
      </c>
      <c r="Q124" s="243"/>
      <c r="R124" s="243"/>
      <c r="S124" s="243"/>
      <c r="T124" s="243"/>
      <c r="U124" s="243"/>
    </row>
    <row r="125" spans="2:21">
      <c r="B125" s="145" t="str">
        <f t="shared" si="21"/>
        <v/>
      </c>
      <c r="C125" s="495">
        <f>IF(D94="","-",+C124+1)</f>
        <v>2035</v>
      </c>
      <c r="D125" s="349">
        <f>IF(F124+SUM(E$100:E124)=D$93,F124,D$93-SUM(E$100:E124))</f>
        <v>97661.321967054275</v>
      </c>
      <c r="E125" s="509">
        <f>IF(+J97&lt;F124,J97,D125)</f>
        <v>46941.778095238093</v>
      </c>
      <c r="F125" s="510">
        <f t="shared" si="31"/>
        <v>50719.543871816182</v>
      </c>
      <c r="G125" s="510">
        <f t="shared" si="32"/>
        <v>74190.432919435232</v>
      </c>
      <c r="H125" s="523">
        <f t="shared" si="33"/>
        <v>55455.781212009941</v>
      </c>
      <c r="I125" s="572">
        <f t="shared" si="34"/>
        <v>55455.781212009941</v>
      </c>
      <c r="J125" s="504">
        <f t="shared" si="22"/>
        <v>0</v>
      </c>
      <c r="K125" s="504"/>
      <c r="L125" s="512"/>
      <c r="M125" s="504">
        <f t="shared" si="27"/>
        <v>0</v>
      </c>
      <c r="N125" s="512"/>
      <c r="O125" s="504">
        <f t="shared" si="25"/>
        <v>0</v>
      </c>
      <c r="P125" s="504">
        <f t="shared" si="26"/>
        <v>0</v>
      </c>
      <c r="Q125" s="243"/>
      <c r="R125" s="243"/>
      <c r="S125" s="243"/>
      <c r="T125" s="243"/>
      <c r="U125" s="243"/>
    </row>
    <row r="126" spans="2:21">
      <c r="B126" s="145" t="str">
        <f t="shared" si="21"/>
        <v/>
      </c>
      <c r="C126" s="495">
        <f>IF(D94="","-",+C125+1)</f>
        <v>2036</v>
      </c>
      <c r="D126" s="349">
        <f>IF(F125+SUM(E$100:E125)=D$93,F125,D$93-SUM(E$100:E125))</f>
        <v>50719.543871816182</v>
      </c>
      <c r="E126" s="509">
        <f>IF(+J97&lt;F125,J97,D126)</f>
        <v>46941.778095238093</v>
      </c>
      <c r="F126" s="510">
        <f t="shared" si="31"/>
        <v>3777.7657765780896</v>
      </c>
      <c r="G126" s="510">
        <f t="shared" si="32"/>
        <v>27248.654824197136</v>
      </c>
      <c r="H126" s="523">
        <f t="shared" si="33"/>
        <v>50068.800313223837</v>
      </c>
      <c r="I126" s="572">
        <f t="shared" si="34"/>
        <v>50068.800313223837</v>
      </c>
      <c r="J126" s="504">
        <f t="shared" si="22"/>
        <v>0</v>
      </c>
      <c r="K126" s="504"/>
      <c r="L126" s="512"/>
      <c r="M126" s="504">
        <f t="shared" si="27"/>
        <v>0</v>
      </c>
      <c r="N126" s="512"/>
      <c r="O126" s="504">
        <f t="shared" si="25"/>
        <v>0</v>
      </c>
      <c r="P126" s="504">
        <f t="shared" si="26"/>
        <v>0</v>
      </c>
      <c r="Q126" s="243"/>
      <c r="R126" s="243"/>
      <c r="S126" s="243"/>
      <c r="T126" s="243"/>
      <c r="U126" s="243"/>
    </row>
    <row r="127" spans="2:21">
      <c r="B127" s="145" t="str">
        <f t="shared" si="21"/>
        <v/>
      </c>
      <c r="C127" s="495">
        <f>IF(D94="","-",+C126+1)</f>
        <v>2037</v>
      </c>
      <c r="D127" s="349">
        <f>IF(F126+SUM(E$100:E126)=D$93,F126,D$93-SUM(E$100:E126))</f>
        <v>3777.7657765780896</v>
      </c>
      <c r="E127" s="509">
        <f>IF(+J97&lt;F126,J97,D127)</f>
        <v>3777.7657765780896</v>
      </c>
      <c r="F127" s="510">
        <f t="shared" si="31"/>
        <v>0</v>
      </c>
      <c r="G127" s="510">
        <f t="shared" si="32"/>
        <v>1888.8828882890448</v>
      </c>
      <c r="H127" s="523">
        <f t="shared" si="33"/>
        <v>3994.5316608744333</v>
      </c>
      <c r="I127" s="572">
        <f t="shared" si="34"/>
        <v>3994.5316608744333</v>
      </c>
      <c r="J127" s="504">
        <f t="shared" si="22"/>
        <v>0</v>
      </c>
      <c r="K127" s="504"/>
      <c r="L127" s="512"/>
      <c r="M127" s="504">
        <f t="shared" si="27"/>
        <v>0</v>
      </c>
      <c r="N127" s="512"/>
      <c r="O127" s="504">
        <f t="shared" si="25"/>
        <v>0</v>
      </c>
      <c r="P127" s="504">
        <f t="shared" si="26"/>
        <v>0</v>
      </c>
      <c r="Q127" s="243"/>
      <c r="R127" s="243"/>
      <c r="S127" s="243"/>
      <c r="T127" s="243"/>
      <c r="U127" s="243"/>
    </row>
    <row r="128" spans="2:21">
      <c r="B128" s="145" t="str">
        <f t="shared" si="21"/>
        <v/>
      </c>
      <c r="C128" s="495">
        <f>IF(D94="","-",+C127+1)</f>
        <v>2038</v>
      </c>
      <c r="D128" s="349">
        <f>IF(F127+SUM(E$100:E127)=D$93,F127,D$93-SUM(E$100:E127))</f>
        <v>0</v>
      </c>
      <c r="E128" s="509">
        <f>IF(+J97&lt;F127,J97,D128)</f>
        <v>0</v>
      </c>
      <c r="F128" s="510">
        <f t="shared" si="31"/>
        <v>0</v>
      </c>
      <c r="G128" s="510">
        <f t="shared" si="32"/>
        <v>0</v>
      </c>
      <c r="H128" s="523">
        <f t="shared" si="33"/>
        <v>0</v>
      </c>
      <c r="I128" s="572">
        <f t="shared" si="34"/>
        <v>0</v>
      </c>
      <c r="J128" s="504">
        <f t="shared" si="22"/>
        <v>0</v>
      </c>
      <c r="K128" s="504"/>
      <c r="L128" s="512"/>
      <c r="M128" s="504">
        <f t="shared" si="27"/>
        <v>0</v>
      </c>
      <c r="N128" s="512"/>
      <c r="O128" s="504">
        <f t="shared" si="25"/>
        <v>0</v>
      </c>
      <c r="P128" s="504">
        <f t="shared" si="26"/>
        <v>0</v>
      </c>
      <c r="Q128" s="243"/>
      <c r="R128" s="243"/>
      <c r="S128" s="243"/>
      <c r="T128" s="243"/>
      <c r="U128" s="243"/>
    </row>
    <row r="129" spans="2:21">
      <c r="B129" s="145" t="str">
        <f t="shared" si="21"/>
        <v/>
      </c>
      <c r="C129" s="495">
        <f>IF(D94="","-",+C128+1)</f>
        <v>2039</v>
      </c>
      <c r="D129" s="349">
        <f>IF(F128+SUM(E$100:E128)=D$93,F128,D$93-SUM(E$100:E128))</f>
        <v>0</v>
      </c>
      <c r="E129" s="509">
        <f>IF(+J97&lt;F128,J97,D129)</f>
        <v>0</v>
      </c>
      <c r="F129" s="510">
        <f t="shared" si="31"/>
        <v>0</v>
      </c>
      <c r="G129" s="510">
        <f t="shared" si="32"/>
        <v>0</v>
      </c>
      <c r="H129" s="523">
        <f t="shared" si="33"/>
        <v>0</v>
      </c>
      <c r="I129" s="572">
        <f t="shared" si="34"/>
        <v>0</v>
      </c>
      <c r="J129" s="504">
        <f t="shared" si="22"/>
        <v>0</v>
      </c>
      <c r="K129" s="504"/>
      <c r="L129" s="512"/>
      <c r="M129" s="504">
        <f t="shared" si="27"/>
        <v>0</v>
      </c>
      <c r="N129" s="512"/>
      <c r="O129" s="504">
        <f t="shared" si="25"/>
        <v>0</v>
      </c>
      <c r="P129" s="504">
        <f t="shared" si="26"/>
        <v>0</v>
      </c>
      <c r="Q129" s="243"/>
      <c r="R129" s="243"/>
      <c r="S129" s="243"/>
      <c r="T129" s="243"/>
      <c r="U129" s="243"/>
    </row>
    <row r="130" spans="2:21">
      <c r="B130" s="145" t="str">
        <f t="shared" si="21"/>
        <v/>
      </c>
      <c r="C130" s="495">
        <f>IF(D94="","-",+C129+1)</f>
        <v>2040</v>
      </c>
      <c r="D130" s="349">
        <f>IF(F129+SUM(E$100:E129)=D$93,F129,D$93-SUM(E$100:E129))</f>
        <v>0</v>
      </c>
      <c r="E130" s="509">
        <f>IF(+J97&lt;F129,J97,D130)</f>
        <v>0</v>
      </c>
      <c r="F130" s="510">
        <f t="shared" si="31"/>
        <v>0</v>
      </c>
      <c r="G130" s="510">
        <f t="shared" si="32"/>
        <v>0</v>
      </c>
      <c r="H130" s="523">
        <f t="shared" si="33"/>
        <v>0</v>
      </c>
      <c r="I130" s="572">
        <f t="shared" si="34"/>
        <v>0</v>
      </c>
      <c r="J130" s="504">
        <f t="shared" si="22"/>
        <v>0</v>
      </c>
      <c r="K130" s="504"/>
      <c r="L130" s="512"/>
      <c r="M130" s="504">
        <f t="shared" si="27"/>
        <v>0</v>
      </c>
      <c r="N130" s="512"/>
      <c r="O130" s="504">
        <f t="shared" si="25"/>
        <v>0</v>
      </c>
      <c r="P130" s="504">
        <f t="shared" si="26"/>
        <v>0</v>
      </c>
      <c r="Q130" s="243"/>
      <c r="R130" s="243"/>
      <c r="S130" s="243"/>
      <c r="T130" s="243"/>
      <c r="U130" s="243"/>
    </row>
    <row r="131" spans="2:21">
      <c r="B131" s="145" t="str">
        <f t="shared" si="21"/>
        <v/>
      </c>
      <c r="C131" s="495">
        <f>IF(D94="","-",+C130+1)</f>
        <v>2041</v>
      </c>
      <c r="D131" s="349">
        <f>IF(F130+SUM(E$100:E130)=D$93,F130,D$93-SUM(E$100:E130))</f>
        <v>0</v>
      </c>
      <c r="E131" s="509">
        <f>IF(+J97&lt;F130,J97,D131)</f>
        <v>0</v>
      </c>
      <c r="F131" s="510">
        <f t="shared" si="31"/>
        <v>0</v>
      </c>
      <c r="G131" s="510">
        <f t="shared" si="32"/>
        <v>0</v>
      </c>
      <c r="H131" s="523">
        <f t="shared" si="33"/>
        <v>0</v>
      </c>
      <c r="I131" s="572">
        <f t="shared" si="34"/>
        <v>0</v>
      </c>
      <c r="J131" s="504">
        <f t="shared" si="22"/>
        <v>0</v>
      </c>
      <c r="K131" s="504"/>
      <c r="L131" s="512"/>
      <c r="M131" s="504">
        <f t="shared" si="27"/>
        <v>0</v>
      </c>
      <c r="N131" s="512"/>
      <c r="O131" s="504">
        <f t="shared" si="25"/>
        <v>0</v>
      </c>
      <c r="P131" s="504">
        <f t="shared" si="26"/>
        <v>0</v>
      </c>
      <c r="Q131" s="243"/>
      <c r="R131" s="243"/>
      <c r="S131" s="243"/>
      <c r="T131" s="243"/>
      <c r="U131" s="243"/>
    </row>
    <row r="132" spans="2:21">
      <c r="B132" s="145" t="str">
        <f t="shared" si="21"/>
        <v/>
      </c>
      <c r="C132" s="495">
        <f>IF(D94="","-",+C131+1)</f>
        <v>2042</v>
      </c>
      <c r="D132" s="349">
        <f>IF(F131+SUM(E$100:E131)=D$93,F131,D$93-SUM(E$100:E131))</f>
        <v>0</v>
      </c>
      <c r="E132" s="509">
        <f>IF(+J97&lt;F131,J97,D132)</f>
        <v>0</v>
      </c>
      <c r="F132" s="510">
        <f t="shared" ref="F132:F155" si="35">+D132-E132</f>
        <v>0</v>
      </c>
      <c r="G132" s="510">
        <f t="shared" ref="G132:G155" si="36">+(F132+D132)/2</f>
        <v>0</v>
      </c>
      <c r="H132" s="523">
        <f t="shared" si="33"/>
        <v>0</v>
      </c>
      <c r="I132" s="572">
        <f t="shared" si="34"/>
        <v>0</v>
      </c>
      <c r="J132" s="504">
        <f t="shared" ref="J132:J155" si="37">+I132-H132</f>
        <v>0</v>
      </c>
      <c r="K132" s="504"/>
      <c r="L132" s="512"/>
      <c r="M132" s="504">
        <f t="shared" ref="M132:M155" si="38">IF(L132&lt;&gt;0,+H132-L132,0)</f>
        <v>0</v>
      </c>
      <c r="N132" s="512"/>
      <c r="O132" s="504">
        <f t="shared" ref="O132:O155" si="39">IF(N132&lt;&gt;0,+I132-N132,0)</f>
        <v>0</v>
      </c>
      <c r="P132" s="504">
        <f t="shared" ref="P132:P155" si="40">+O132-M132</f>
        <v>0</v>
      </c>
      <c r="Q132" s="243"/>
      <c r="R132" s="243"/>
      <c r="S132" s="243"/>
      <c r="T132" s="243"/>
      <c r="U132" s="243"/>
    </row>
    <row r="133" spans="2:21">
      <c r="B133" s="145" t="str">
        <f t="shared" si="21"/>
        <v/>
      </c>
      <c r="C133" s="495">
        <f>IF(D94="","-",+C132+1)</f>
        <v>2043</v>
      </c>
      <c r="D133" s="349">
        <f>IF(F132+SUM(E$100:E132)=D$93,F132,D$93-SUM(E$100:E132))</f>
        <v>0</v>
      </c>
      <c r="E133" s="509">
        <f>IF(+J97&lt;F132,J97,D133)</f>
        <v>0</v>
      </c>
      <c r="F133" s="510">
        <f t="shared" si="35"/>
        <v>0</v>
      </c>
      <c r="G133" s="510">
        <f t="shared" si="36"/>
        <v>0</v>
      </c>
      <c r="H133" s="523">
        <f t="shared" si="33"/>
        <v>0</v>
      </c>
      <c r="I133" s="572">
        <f t="shared" si="34"/>
        <v>0</v>
      </c>
      <c r="J133" s="504">
        <f t="shared" si="37"/>
        <v>0</v>
      </c>
      <c r="K133" s="504"/>
      <c r="L133" s="512"/>
      <c r="M133" s="504">
        <f t="shared" si="38"/>
        <v>0</v>
      </c>
      <c r="N133" s="512"/>
      <c r="O133" s="504">
        <f t="shared" si="39"/>
        <v>0</v>
      </c>
      <c r="P133" s="504">
        <f t="shared" si="40"/>
        <v>0</v>
      </c>
      <c r="Q133" s="243"/>
      <c r="R133" s="243"/>
      <c r="S133" s="243"/>
      <c r="T133" s="243"/>
      <c r="U133" s="243"/>
    </row>
    <row r="134" spans="2:21">
      <c r="B134" s="145" t="str">
        <f t="shared" si="21"/>
        <v/>
      </c>
      <c r="C134" s="495">
        <f>IF(D94="","-",+C133+1)</f>
        <v>2044</v>
      </c>
      <c r="D134" s="349">
        <f>IF(F133+SUM(E$100:E133)=D$93,F133,D$93-SUM(E$100:E133))</f>
        <v>0</v>
      </c>
      <c r="E134" s="509">
        <f>IF(+J97&lt;F133,J97,D134)</f>
        <v>0</v>
      </c>
      <c r="F134" s="510">
        <f t="shared" si="35"/>
        <v>0</v>
      </c>
      <c r="G134" s="510">
        <f t="shared" si="36"/>
        <v>0</v>
      </c>
      <c r="H134" s="523">
        <f t="shared" si="33"/>
        <v>0</v>
      </c>
      <c r="I134" s="572">
        <f t="shared" si="34"/>
        <v>0</v>
      </c>
      <c r="J134" s="504">
        <f t="shared" si="37"/>
        <v>0</v>
      </c>
      <c r="K134" s="504"/>
      <c r="L134" s="512"/>
      <c r="M134" s="504">
        <f t="shared" si="38"/>
        <v>0</v>
      </c>
      <c r="N134" s="512"/>
      <c r="O134" s="504">
        <f t="shared" si="39"/>
        <v>0</v>
      </c>
      <c r="P134" s="504">
        <f t="shared" si="40"/>
        <v>0</v>
      </c>
      <c r="Q134" s="243"/>
      <c r="R134" s="243"/>
      <c r="S134" s="243"/>
      <c r="T134" s="243"/>
      <c r="U134" s="243"/>
    </row>
    <row r="135" spans="2:21">
      <c r="B135" s="145" t="str">
        <f t="shared" si="21"/>
        <v/>
      </c>
      <c r="C135" s="495">
        <f>IF(D94="","-",+C134+1)</f>
        <v>2045</v>
      </c>
      <c r="D135" s="349">
        <f>IF(F134+SUM(E$100:E134)=D$93,F134,D$93-SUM(E$100:E134))</f>
        <v>0</v>
      </c>
      <c r="E135" s="509">
        <f>IF(+J97&lt;F134,J97,D135)</f>
        <v>0</v>
      </c>
      <c r="F135" s="510">
        <f t="shared" si="35"/>
        <v>0</v>
      </c>
      <c r="G135" s="510">
        <f t="shared" si="36"/>
        <v>0</v>
      </c>
      <c r="H135" s="523">
        <f t="shared" si="33"/>
        <v>0</v>
      </c>
      <c r="I135" s="572">
        <f t="shared" si="34"/>
        <v>0</v>
      </c>
      <c r="J135" s="504">
        <f t="shared" si="37"/>
        <v>0</v>
      </c>
      <c r="K135" s="504"/>
      <c r="L135" s="512"/>
      <c r="M135" s="504">
        <f t="shared" si="38"/>
        <v>0</v>
      </c>
      <c r="N135" s="512"/>
      <c r="O135" s="504">
        <f t="shared" si="39"/>
        <v>0</v>
      </c>
      <c r="P135" s="504">
        <f t="shared" si="40"/>
        <v>0</v>
      </c>
      <c r="Q135" s="243"/>
      <c r="R135" s="243"/>
      <c r="S135" s="243"/>
      <c r="T135" s="243"/>
      <c r="U135" s="243"/>
    </row>
    <row r="136" spans="2:21">
      <c r="B136" s="145" t="str">
        <f t="shared" si="21"/>
        <v/>
      </c>
      <c r="C136" s="495">
        <f>IF(D94="","-",+C135+1)</f>
        <v>2046</v>
      </c>
      <c r="D136" s="349">
        <f>IF(F135+SUM(E$100:E135)=D$93,F135,D$93-SUM(E$100:E135))</f>
        <v>0</v>
      </c>
      <c r="E136" s="509">
        <f>IF(+J97&lt;F135,J97,D136)</f>
        <v>0</v>
      </c>
      <c r="F136" s="510">
        <f t="shared" si="35"/>
        <v>0</v>
      </c>
      <c r="G136" s="510">
        <f t="shared" si="36"/>
        <v>0</v>
      </c>
      <c r="H136" s="523">
        <f t="shared" si="33"/>
        <v>0</v>
      </c>
      <c r="I136" s="572">
        <f t="shared" si="34"/>
        <v>0</v>
      </c>
      <c r="J136" s="504">
        <f t="shared" si="37"/>
        <v>0</v>
      </c>
      <c r="K136" s="504"/>
      <c r="L136" s="512"/>
      <c r="M136" s="504">
        <f t="shared" si="38"/>
        <v>0</v>
      </c>
      <c r="N136" s="512"/>
      <c r="O136" s="504">
        <f t="shared" si="39"/>
        <v>0</v>
      </c>
      <c r="P136" s="504">
        <f t="shared" si="40"/>
        <v>0</v>
      </c>
      <c r="Q136" s="243"/>
      <c r="R136" s="243"/>
      <c r="S136" s="243"/>
      <c r="T136" s="243"/>
      <c r="U136" s="243"/>
    </row>
    <row r="137" spans="2:21">
      <c r="B137" s="145" t="str">
        <f t="shared" si="21"/>
        <v/>
      </c>
      <c r="C137" s="495">
        <f>IF(D94="","-",+C136+1)</f>
        <v>2047</v>
      </c>
      <c r="D137" s="349">
        <f>IF(F136+SUM(E$100:E136)=D$93,F136,D$93-SUM(E$100:E136))</f>
        <v>0</v>
      </c>
      <c r="E137" s="509">
        <f>IF(+J97&lt;F136,J97,D137)</f>
        <v>0</v>
      </c>
      <c r="F137" s="510">
        <f t="shared" si="35"/>
        <v>0</v>
      </c>
      <c r="G137" s="510">
        <f t="shared" si="36"/>
        <v>0</v>
      </c>
      <c r="H137" s="523">
        <f t="shared" si="33"/>
        <v>0</v>
      </c>
      <c r="I137" s="572">
        <f t="shared" si="34"/>
        <v>0</v>
      </c>
      <c r="J137" s="504">
        <f t="shared" si="37"/>
        <v>0</v>
      </c>
      <c r="K137" s="504"/>
      <c r="L137" s="512"/>
      <c r="M137" s="504">
        <f t="shared" si="38"/>
        <v>0</v>
      </c>
      <c r="N137" s="512"/>
      <c r="O137" s="504">
        <f t="shared" si="39"/>
        <v>0</v>
      </c>
      <c r="P137" s="504">
        <f t="shared" si="40"/>
        <v>0</v>
      </c>
      <c r="Q137" s="243"/>
      <c r="R137" s="243"/>
      <c r="S137" s="243"/>
      <c r="T137" s="243"/>
      <c r="U137" s="243"/>
    </row>
    <row r="138" spans="2:21">
      <c r="B138" s="145" t="str">
        <f t="shared" si="21"/>
        <v/>
      </c>
      <c r="C138" s="495">
        <f>IF(D94="","-",+C137+1)</f>
        <v>2048</v>
      </c>
      <c r="D138" s="349">
        <f>IF(F137+SUM(E$100:E137)=D$93,F137,D$93-SUM(E$100:E137))</f>
        <v>0</v>
      </c>
      <c r="E138" s="509">
        <f>IF(+J97&lt;F137,J97,D138)</f>
        <v>0</v>
      </c>
      <c r="F138" s="510">
        <f t="shared" si="35"/>
        <v>0</v>
      </c>
      <c r="G138" s="510">
        <f t="shared" si="36"/>
        <v>0</v>
      </c>
      <c r="H138" s="523">
        <f t="shared" si="33"/>
        <v>0</v>
      </c>
      <c r="I138" s="572">
        <f t="shared" si="34"/>
        <v>0</v>
      </c>
      <c r="J138" s="504">
        <f t="shared" si="37"/>
        <v>0</v>
      </c>
      <c r="K138" s="504"/>
      <c r="L138" s="512"/>
      <c r="M138" s="504">
        <f t="shared" si="38"/>
        <v>0</v>
      </c>
      <c r="N138" s="512"/>
      <c r="O138" s="504">
        <f t="shared" si="39"/>
        <v>0</v>
      </c>
      <c r="P138" s="504">
        <f t="shared" si="40"/>
        <v>0</v>
      </c>
      <c r="Q138" s="243"/>
      <c r="R138" s="243"/>
      <c r="S138" s="243"/>
      <c r="T138" s="243"/>
      <c r="U138" s="243"/>
    </row>
    <row r="139" spans="2:21">
      <c r="B139" s="145" t="str">
        <f t="shared" si="21"/>
        <v/>
      </c>
      <c r="C139" s="495">
        <f>IF(D94="","-",+C138+1)</f>
        <v>2049</v>
      </c>
      <c r="D139" s="349">
        <f>IF(F138+SUM(E$100:E138)=D$93,F138,D$93-SUM(E$100:E138))</f>
        <v>0</v>
      </c>
      <c r="E139" s="509">
        <f>IF(+J97&lt;F138,J97,D139)</f>
        <v>0</v>
      </c>
      <c r="F139" s="510">
        <f t="shared" si="35"/>
        <v>0</v>
      </c>
      <c r="G139" s="510">
        <f t="shared" si="36"/>
        <v>0</v>
      </c>
      <c r="H139" s="523">
        <f t="shared" si="33"/>
        <v>0</v>
      </c>
      <c r="I139" s="572">
        <f t="shared" si="34"/>
        <v>0</v>
      </c>
      <c r="J139" s="504">
        <f t="shared" si="37"/>
        <v>0</v>
      </c>
      <c r="K139" s="504"/>
      <c r="L139" s="512"/>
      <c r="M139" s="504">
        <f t="shared" si="38"/>
        <v>0</v>
      </c>
      <c r="N139" s="512"/>
      <c r="O139" s="504">
        <f t="shared" si="39"/>
        <v>0</v>
      </c>
      <c r="P139" s="504">
        <f t="shared" si="40"/>
        <v>0</v>
      </c>
      <c r="Q139" s="243"/>
      <c r="R139" s="243"/>
      <c r="S139" s="243"/>
      <c r="T139" s="243"/>
      <c r="U139" s="243"/>
    </row>
    <row r="140" spans="2:21">
      <c r="B140" s="145" t="str">
        <f t="shared" si="21"/>
        <v/>
      </c>
      <c r="C140" s="495">
        <f>IF(D94="","-",+C139+1)</f>
        <v>2050</v>
      </c>
      <c r="D140" s="349">
        <f>IF(F139+SUM(E$100:E139)=D$93,F139,D$93-SUM(E$100:E139))</f>
        <v>0</v>
      </c>
      <c r="E140" s="509">
        <f>IF(+J97&lt;F139,J97,D140)</f>
        <v>0</v>
      </c>
      <c r="F140" s="510">
        <f t="shared" si="35"/>
        <v>0</v>
      </c>
      <c r="G140" s="510">
        <f t="shared" si="36"/>
        <v>0</v>
      </c>
      <c r="H140" s="523">
        <f t="shared" si="33"/>
        <v>0</v>
      </c>
      <c r="I140" s="572">
        <f t="shared" si="34"/>
        <v>0</v>
      </c>
      <c r="J140" s="504">
        <f t="shared" si="37"/>
        <v>0</v>
      </c>
      <c r="K140" s="504"/>
      <c r="L140" s="512"/>
      <c r="M140" s="504">
        <f t="shared" si="38"/>
        <v>0</v>
      </c>
      <c r="N140" s="512"/>
      <c r="O140" s="504">
        <f t="shared" si="39"/>
        <v>0</v>
      </c>
      <c r="P140" s="504">
        <f t="shared" si="40"/>
        <v>0</v>
      </c>
      <c r="Q140" s="243"/>
      <c r="R140" s="243"/>
      <c r="S140" s="243"/>
      <c r="T140" s="243"/>
      <c r="U140" s="243"/>
    </row>
    <row r="141" spans="2:21">
      <c r="B141" s="145" t="str">
        <f t="shared" si="21"/>
        <v/>
      </c>
      <c r="C141" s="495">
        <f>IF(D94="","-",+C140+1)</f>
        <v>2051</v>
      </c>
      <c r="D141" s="349">
        <f>IF(F140+SUM(E$100:E140)=D$93,F140,D$93-SUM(E$100:E140))</f>
        <v>0</v>
      </c>
      <c r="E141" s="509">
        <f>IF(+J97&lt;F140,J97,D141)</f>
        <v>0</v>
      </c>
      <c r="F141" s="510">
        <f t="shared" si="35"/>
        <v>0</v>
      </c>
      <c r="G141" s="510">
        <f t="shared" si="36"/>
        <v>0</v>
      </c>
      <c r="H141" s="523">
        <f t="shared" si="33"/>
        <v>0</v>
      </c>
      <c r="I141" s="572">
        <f t="shared" si="34"/>
        <v>0</v>
      </c>
      <c r="J141" s="504">
        <f t="shared" si="37"/>
        <v>0</v>
      </c>
      <c r="K141" s="504"/>
      <c r="L141" s="512"/>
      <c r="M141" s="504">
        <f t="shared" si="38"/>
        <v>0</v>
      </c>
      <c r="N141" s="512"/>
      <c r="O141" s="504">
        <f t="shared" si="39"/>
        <v>0</v>
      </c>
      <c r="P141" s="504">
        <f t="shared" si="40"/>
        <v>0</v>
      </c>
      <c r="Q141" s="243"/>
      <c r="R141" s="243"/>
      <c r="S141" s="243"/>
      <c r="T141" s="243"/>
      <c r="U141" s="243"/>
    </row>
    <row r="142" spans="2:21">
      <c r="B142" s="145" t="str">
        <f t="shared" si="21"/>
        <v/>
      </c>
      <c r="C142" s="495">
        <f>IF(D94="","-",+C141+1)</f>
        <v>2052</v>
      </c>
      <c r="D142" s="349">
        <f>IF(F141+SUM(E$100:E141)=D$93,F141,D$93-SUM(E$100:E141))</f>
        <v>0</v>
      </c>
      <c r="E142" s="509">
        <f>IF(+J97&lt;F141,J97,D142)</f>
        <v>0</v>
      </c>
      <c r="F142" s="510">
        <f t="shared" si="35"/>
        <v>0</v>
      </c>
      <c r="G142" s="510">
        <f t="shared" si="36"/>
        <v>0</v>
      </c>
      <c r="H142" s="523">
        <f t="shared" si="33"/>
        <v>0</v>
      </c>
      <c r="I142" s="572">
        <f t="shared" si="34"/>
        <v>0</v>
      </c>
      <c r="J142" s="504">
        <f t="shared" si="37"/>
        <v>0</v>
      </c>
      <c r="K142" s="504"/>
      <c r="L142" s="512"/>
      <c r="M142" s="504">
        <f t="shared" si="38"/>
        <v>0</v>
      </c>
      <c r="N142" s="512"/>
      <c r="O142" s="504">
        <f t="shared" si="39"/>
        <v>0</v>
      </c>
      <c r="P142" s="504">
        <f t="shared" si="40"/>
        <v>0</v>
      </c>
      <c r="Q142" s="243"/>
      <c r="R142" s="243"/>
      <c r="S142" s="243"/>
      <c r="T142" s="243"/>
      <c r="U142" s="243"/>
    </row>
    <row r="143" spans="2:21">
      <c r="B143" s="145" t="str">
        <f t="shared" si="21"/>
        <v/>
      </c>
      <c r="C143" s="495">
        <f>IF(D94="","-",+C142+1)</f>
        <v>2053</v>
      </c>
      <c r="D143" s="349">
        <f>IF(F142+SUM(E$100:E142)=D$93,F142,D$93-SUM(E$100:E142))</f>
        <v>0</v>
      </c>
      <c r="E143" s="509">
        <f>IF(+J97&lt;F142,J97,D143)</f>
        <v>0</v>
      </c>
      <c r="F143" s="510">
        <f t="shared" si="35"/>
        <v>0</v>
      </c>
      <c r="G143" s="510">
        <f t="shared" si="36"/>
        <v>0</v>
      </c>
      <c r="H143" s="523">
        <f t="shared" si="33"/>
        <v>0</v>
      </c>
      <c r="I143" s="572">
        <f t="shared" si="34"/>
        <v>0</v>
      </c>
      <c r="J143" s="504">
        <f t="shared" si="37"/>
        <v>0</v>
      </c>
      <c r="K143" s="504"/>
      <c r="L143" s="512"/>
      <c r="M143" s="504">
        <f t="shared" si="38"/>
        <v>0</v>
      </c>
      <c r="N143" s="512"/>
      <c r="O143" s="504">
        <f t="shared" si="39"/>
        <v>0</v>
      </c>
      <c r="P143" s="504">
        <f t="shared" si="40"/>
        <v>0</v>
      </c>
      <c r="Q143" s="243"/>
      <c r="R143" s="243"/>
      <c r="S143" s="243"/>
      <c r="T143" s="243"/>
      <c r="U143" s="243"/>
    </row>
    <row r="144" spans="2:21">
      <c r="B144" s="145" t="str">
        <f t="shared" si="21"/>
        <v/>
      </c>
      <c r="C144" s="495">
        <f>IF(D94="","-",+C143+1)</f>
        <v>2054</v>
      </c>
      <c r="D144" s="349">
        <f>IF(F143+SUM(E$100:E143)=D$93,F143,D$93-SUM(E$100:E143))</f>
        <v>0</v>
      </c>
      <c r="E144" s="509">
        <f>IF(+J97&lt;F143,J97,D144)</f>
        <v>0</v>
      </c>
      <c r="F144" s="510">
        <f t="shared" si="35"/>
        <v>0</v>
      </c>
      <c r="G144" s="510">
        <f t="shared" si="36"/>
        <v>0</v>
      </c>
      <c r="H144" s="523">
        <f t="shared" si="33"/>
        <v>0</v>
      </c>
      <c r="I144" s="572">
        <f t="shared" si="34"/>
        <v>0</v>
      </c>
      <c r="J144" s="504">
        <f t="shared" si="37"/>
        <v>0</v>
      </c>
      <c r="K144" s="504"/>
      <c r="L144" s="512"/>
      <c r="M144" s="504">
        <f t="shared" si="38"/>
        <v>0</v>
      </c>
      <c r="N144" s="512"/>
      <c r="O144" s="504">
        <f t="shared" si="39"/>
        <v>0</v>
      </c>
      <c r="P144" s="504">
        <f t="shared" si="40"/>
        <v>0</v>
      </c>
      <c r="Q144" s="243"/>
      <c r="R144" s="243"/>
      <c r="S144" s="243"/>
      <c r="T144" s="243"/>
      <c r="U144" s="243"/>
    </row>
    <row r="145" spans="2:21">
      <c r="B145" s="145" t="str">
        <f t="shared" si="21"/>
        <v/>
      </c>
      <c r="C145" s="495">
        <f>IF(D94="","-",+C144+1)</f>
        <v>2055</v>
      </c>
      <c r="D145" s="349">
        <f>IF(F144+SUM(E$100:E144)=D$93,F144,D$93-SUM(E$100:E144))</f>
        <v>0</v>
      </c>
      <c r="E145" s="509">
        <f>IF(+J97&lt;F144,J97,D145)</f>
        <v>0</v>
      </c>
      <c r="F145" s="510">
        <f t="shared" si="35"/>
        <v>0</v>
      </c>
      <c r="G145" s="510">
        <f t="shared" si="36"/>
        <v>0</v>
      </c>
      <c r="H145" s="523">
        <f t="shared" si="33"/>
        <v>0</v>
      </c>
      <c r="I145" s="572">
        <f t="shared" si="34"/>
        <v>0</v>
      </c>
      <c r="J145" s="504">
        <f t="shared" si="37"/>
        <v>0</v>
      </c>
      <c r="K145" s="504"/>
      <c r="L145" s="512"/>
      <c r="M145" s="504">
        <f t="shared" si="38"/>
        <v>0</v>
      </c>
      <c r="N145" s="512"/>
      <c r="O145" s="504">
        <f t="shared" si="39"/>
        <v>0</v>
      </c>
      <c r="P145" s="504">
        <f t="shared" si="40"/>
        <v>0</v>
      </c>
      <c r="Q145" s="243"/>
      <c r="R145" s="243"/>
      <c r="S145" s="243"/>
      <c r="T145" s="243"/>
      <c r="U145" s="243"/>
    </row>
    <row r="146" spans="2:21">
      <c r="B146" s="145" t="str">
        <f t="shared" si="21"/>
        <v/>
      </c>
      <c r="C146" s="495">
        <f>IF(D94="","-",+C145+1)</f>
        <v>2056</v>
      </c>
      <c r="D146" s="349">
        <f>IF(F145+SUM(E$100:E145)=D$93,F145,D$93-SUM(E$100:E145))</f>
        <v>0</v>
      </c>
      <c r="E146" s="509">
        <f>IF(+J97&lt;F145,J97,D146)</f>
        <v>0</v>
      </c>
      <c r="F146" s="510">
        <f t="shared" si="35"/>
        <v>0</v>
      </c>
      <c r="G146" s="510">
        <f t="shared" si="36"/>
        <v>0</v>
      </c>
      <c r="H146" s="523">
        <f t="shared" si="33"/>
        <v>0</v>
      </c>
      <c r="I146" s="572">
        <f t="shared" si="34"/>
        <v>0</v>
      </c>
      <c r="J146" s="504">
        <f t="shared" si="37"/>
        <v>0</v>
      </c>
      <c r="K146" s="504"/>
      <c r="L146" s="512"/>
      <c r="M146" s="504">
        <f t="shared" si="38"/>
        <v>0</v>
      </c>
      <c r="N146" s="512"/>
      <c r="O146" s="504">
        <f t="shared" si="39"/>
        <v>0</v>
      </c>
      <c r="P146" s="504">
        <f t="shared" si="40"/>
        <v>0</v>
      </c>
      <c r="Q146" s="243"/>
      <c r="R146" s="243"/>
      <c r="S146" s="243"/>
      <c r="T146" s="243"/>
      <c r="U146" s="243"/>
    </row>
    <row r="147" spans="2:21">
      <c r="B147" s="145" t="str">
        <f t="shared" si="21"/>
        <v/>
      </c>
      <c r="C147" s="495">
        <f>IF(D94="","-",+C146+1)</f>
        <v>2057</v>
      </c>
      <c r="D147" s="349">
        <f>IF(F146+SUM(E$100:E146)=D$93,F146,D$93-SUM(E$100:E146))</f>
        <v>0</v>
      </c>
      <c r="E147" s="509">
        <f>IF(+J97&lt;F146,J97,D147)</f>
        <v>0</v>
      </c>
      <c r="F147" s="510">
        <f t="shared" si="35"/>
        <v>0</v>
      </c>
      <c r="G147" s="510">
        <f t="shared" si="36"/>
        <v>0</v>
      </c>
      <c r="H147" s="523">
        <f t="shared" si="33"/>
        <v>0</v>
      </c>
      <c r="I147" s="572">
        <f t="shared" si="34"/>
        <v>0</v>
      </c>
      <c r="J147" s="504">
        <f t="shared" si="37"/>
        <v>0</v>
      </c>
      <c r="K147" s="504"/>
      <c r="L147" s="512"/>
      <c r="M147" s="504">
        <f t="shared" si="38"/>
        <v>0</v>
      </c>
      <c r="N147" s="512"/>
      <c r="O147" s="504">
        <f t="shared" si="39"/>
        <v>0</v>
      </c>
      <c r="P147" s="504">
        <f t="shared" si="40"/>
        <v>0</v>
      </c>
      <c r="Q147" s="243"/>
      <c r="R147" s="243"/>
      <c r="S147" s="243"/>
      <c r="T147" s="243"/>
      <c r="U147" s="243"/>
    </row>
    <row r="148" spans="2:21">
      <c r="B148" s="145" t="str">
        <f t="shared" si="21"/>
        <v/>
      </c>
      <c r="C148" s="495">
        <f>IF(D94="","-",+C147+1)</f>
        <v>2058</v>
      </c>
      <c r="D148" s="349">
        <f>IF(F147+SUM(E$100:E147)=D$93,F147,D$93-SUM(E$100:E147))</f>
        <v>0</v>
      </c>
      <c r="E148" s="509">
        <f>IF(+J97&lt;F147,J97,D148)</f>
        <v>0</v>
      </c>
      <c r="F148" s="510">
        <f t="shared" si="35"/>
        <v>0</v>
      </c>
      <c r="G148" s="510">
        <f t="shared" si="36"/>
        <v>0</v>
      </c>
      <c r="H148" s="523">
        <f t="shared" si="33"/>
        <v>0</v>
      </c>
      <c r="I148" s="572">
        <f t="shared" si="34"/>
        <v>0</v>
      </c>
      <c r="J148" s="504">
        <f t="shared" si="37"/>
        <v>0</v>
      </c>
      <c r="K148" s="504"/>
      <c r="L148" s="512"/>
      <c r="M148" s="504">
        <f t="shared" si="38"/>
        <v>0</v>
      </c>
      <c r="N148" s="512"/>
      <c r="O148" s="504">
        <f t="shared" si="39"/>
        <v>0</v>
      </c>
      <c r="P148" s="504">
        <f t="shared" si="40"/>
        <v>0</v>
      </c>
      <c r="Q148" s="243"/>
      <c r="R148" s="243"/>
      <c r="S148" s="243"/>
      <c r="T148" s="243"/>
      <c r="U148" s="243"/>
    </row>
    <row r="149" spans="2:21">
      <c r="B149" s="145" t="str">
        <f t="shared" si="21"/>
        <v/>
      </c>
      <c r="C149" s="495">
        <f>IF(D94="","-",+C148+1)</f>
        <v>2059</v>
      </c>
      <c r="D149" s="349">
        <f>IF(F148+SUM(E$100:E148)=D$93,F148,D$93-SUM(E$100:E148))</f>
        <v>0</v>
      </c>
      <c r="E149" s="509">
        <f>IF(+J97&lt;F148,J97,D149)</f>
        <v>0</v>
      </c>
      <c r="F149" s="510">
        <f t="shared" si="35"/>
        <v>0</v>
      </c>
      <c r="G149" s="510">
        <f t="shared" si="36"/>
        <v>0</v>
      </c>
      <c r="H149" s="523">
        <f t="shared" si="33"/>
        <v>0</v>
      </c>
      <c r="I149" s="572">
        <f t="shared" si="34"/>
        <v>0</v>
      </c>
      <c r="J149" s="504">
        <f t="shared" si="37"/>
        <v>0</v>
      </c>
      <c r="K149" s="504"/>
      <c r="L149" s="512"/>
      <c r="M149" s="504">
        <f t="shared" si="38"/>
        <v>0</v>
      </c>
      <c r="N149" s="512"/>
      <c r="O149" s="504">
        <f t="shared" si="39"/>
        <v>0</v>
      </c>
      <c r="P149" s="504">
        <f t="shared" si="40"/>
        <v>0</v>
      </c>
      <c r="Q149" s="243"/>
      <c r="R149" s="243"/>
      <c r="S149" s="243"/>
      <c r="T149" s="243"/>
      <c r="U149" s="243"/>
    </row>
    <row r="150" spans="2:21">
      <c r="B150" s="145" t="str">
        <f t="shared" si="21"/>
        <v/>
      </c>
      <c r="C150" s="495">
        <f>IF(D94="","-",+C149+1)</f>
        <v>2060</v>
      </c>
      <c r="D150" s="349">
        <f>IF(F149+SUM(E$100:E149)=D$93,F149,D$93-SUM(E$100:E149))</f>
        <v>0</v>
      </c>
      <c r="E150" s="509">
        <f>IF(+J97&lt;F149,J97,D150)</f>
        <v>0</v>
      </c>
      <c r="F150" s="510">
        <f t="shared" si="35"/>
        <v>0</v>
      </c>
      <c r="G150" s="510">
        <f t="shared" si="36"/>
        <v>0</v>
      </c>
      <c r="H150" s="523">
        <f t="shared" si="33"/>
        <v>0</v>
      </c>
      <c r="I150" s="572">
        <f t="shared" si="34"/>
        <v>0</v>
      </c>
      <c r="J150" s="504">
        <f t="shared" si="37"/>
        <v>0</v>
      </c>
      <c r="K150" s="504"/>
      <c r="L150" s="512"/>
      <c r="M150" s="504">
        <f t="shared" si="38"/>
        <v>0</v>
      </c>
      <c r="N150" s="512"/>
      <c r="O150" s="504">
        <f t="shared" si="39"/>
        <v>0</v>
      </c>
      <c r="P150" s="504">
        <f t="shared" si="40"/>
        <v>0</v>
      </c>
      <c r="Q150" s="243"/>
      <c r="R150" s="243"/>
      <c r="S150" s="243"/>
      <c r="T150" s="243"/>
      <c r="U150" s="243"/>
    </row>
    <row r="151" spans="2:21">
      <c r="B151" s="145" t="str">
        <f t="shared" si="21"/>
        <v/>
      </c>
      <c r="C151" s="495">
        <f>IF(D94="","-",+C150+1)</f>
        <v>2061</v>
      </c>
      <c r="D151" s="349">
        <f>IF(F150+SUM(E$100:E150)=D$93,F150,D$93-SUM(E$100:E150))</f>
        <v>0</v>
      </c>
      <c r="E151" s="509">
        <f>IF(+J97&lt;F150,J97,D151)</f>
        <v>0</v>
      </c>
      <c r="F151" s="510">
        <f t="shared" si="35"/>
        <v>0</v>
      </c>
      <c r="G151" s="510">
        <f t="shared" si="36"/>
        <v>0</v>
      </c>
      <c r="H151" s="523">
        <f t="shared" si="33"/>
        <v>0</v>
      </c>
      <c r="I151" s="572">
        <f t="shared" si="34"/>
        <v>0</v>
      </c>
      <c r="J151" s="504">
        <f t="shared" si="37"/>
        <v>0</v>
      </c>
      <c r="K151" s="504"/>
      <c r="L151" s="512"/>
      <c r="M151" s="504">
        <f t="shared" si="38"/>
        <v>0</v>
      </c>
      <c r="N151" s="512"/>
      <c r="O151" s="504">
        <f t="shared" si="39"/>
        <v>0</v>
      </c>
      <c r="P151" s="504">
        <f t="shared" si="40"/>
        <v>0</v>
      </c>
      <c r="Q151" s="243"/>
      <c r="R151" s="243"/>
      <c r="S151" s="243"/>
      <c r="T151" s="243"/>
      <c r="U151" s="243"/>
    </row>
    <row r="152" spans="2:21">
      <c r="B152" s="145" t="str">
        <f t="shared" si="21"/>
        <v/>
      </c>
      <c r="C152" s="495">
        <f>IF(D94="","-",+C151+1)</f>
        <v>2062</v>
      </c>
      <c r="D152" s="349">
        <f>IF(F151+SUM(E$100:E151)=D$93,F151,D$93-SUM(E$100:E151))</f>
        <v>0</v>
      </c>
      <c r="E152" s="509">
        <f>IF(+J97&lt;F151,J97,D152)</f>
        <v>0</v>
      </c>
      <c r="F152" s="510">
        <f t="shared" si="35"/>
        <v>0</v>
      </c>
      <c r="G152" s="510">
        <f t="shared" si="36"/>
        <v>0</v>
      </c>
      <c r="H152" s="523">
        <f t="shared" si="33"/>
        <v>0</v>
      </c>
      <c r="I152" s="572">
        <f t="shared" si="34"/>
        <v>0</v>
      </c>
      <c r="J152" s="504">
        <f t="shared" si="37"/>
        <v>0</v>
      </c>
      <c r="K152" s="504"/>
      <c r="L152" s="512"/>
      <c r="M152" s="504">
        <f t="shared" si="38"/>
        <v>0</v>
      </c>
      <c r="N152" s="512"/>
      <c r="O152" s="504">
        <f t="shared" si="39"/>
        <v>0</v>
      </c>
      <c r="P152" s="504">
        <f t="shared" si="40"/>
        <v>0</v>
      </c>
      <c r="Q152" s="243"/>
      <c r="R152" s="243"/>
      <c r="S152" s="243"/>
      <c r="T152" s="243"/>
      <c r="U152" s="243"/>
    </row>
    <row r="153" spans="2:21">
      <c r="B153" s="145" t="str">
        <f t="shared" si="21"/>
        <v/>
      </c>
      <c r="C153" s="495">
        <f>IF(D94="","-",+C152+1)</f>
        <v>2063</v>
      </c>
      <c r="D153" s="349">
        <f>IF(F152+SUM(E$100:E152)=D$93,F152,D$93-SUM(E$100:E152))</f>
        <v>0</v>
      </c>
      <c r="E153" s="509">
        <f>IF(+J97&lt;F152,J97,D153)</f>
        <v>0</v>
      </c>
      <c r="F153" s="510">
        <f t="shared" si="35"/>
        <v>0</v>
      </c>
      <c r="G153" s="510">
        <f t="shared" si="36"/>
        <v>0</v>
      </c>
      <c r="H153" s="523">
        <f t="shared" si="33"/>
        <v>0</v>
      </c>
      <c r="I153" s="572">
        <f t="shared" si="34"/>
        <v>0</v>
      </c>
      <c r="J153" s="504">
        <f t="shared" si="37"/>
        <v>0</v>
      </c>
      <c r="K153" s="504"/>
      <c r="L153" s="512"/>
      <c r="M153" s="504">
        <f t="shared" si="38"/>
        <v>0</v>
      </c>
      <c r="N153" s="512"/>
      <c r="O153" s="504">
        <f t="shared" si="39"/>
        <v>0</v>
      </c>
      <c r="P153" s="504">
        <f t="shared" si="40"/>
        <v>0</v>
      </c>
      <c r="Q153" s="243"/>
      <c r="R153" s="243"/>
      <c r="S153" s="243"/>
      <c r="T153" s="243"/>
      <c r="U153" s="243"/>
    </row>
    <row r="154" spans="2:21">
      <c r="B154" s="145" t="str">
        <f t="shared" si="21"/>
        <v/>
      </c>
      <c r="C154" s="495">
        <f>IF(D94="","-",+C153+1)</f>
        <v>2064</v>
      </c>
      <c r="D154" s="349">
        <f>IF(F153+SUM(E$100:E153)=D$93,F153,D$93-SUM(E$100:E153))</f>
        <v>0</v>
      </c>
      <c r="E154" s="509">
        <f>IF(+J97&lt;F153,J97,D154)</f>
        <v>0</v>
      </c>
      <c r="F154" s="510">
        <f t="shared" si="35"/>
        <v>0</v>
      </c>
      <c r="G154" s="510">
        <f t="shared" si="36"/>
        <v>0</v>
      </c>
      <c r="H154" s="523">
        <f t="shared" si="33"/>
        <v>0</v>
      </c>
      <c r="I154" s="572">
        <f t="shared" si="34"/>
        <v>0</v>
      </c>
      <c r="J154" s="504">
        <f t="shared" si="37"/>
        <v>0</v>
      </c>
      <c r="K154" s="504"/>
      <c r="L154" s="512"/>
      <c r="M154" s="504">
        <f t="shared" si="38"/>
        <v>0</v>
      </c>
      <c r="N154" s="512"/>
      <c r="O154" s="504">
        <f t="shared" si="39"/>
        <v>0</v>
      </c>
      <c r="P154" s="504">
        <f t="shared" si="40"/>
        <v>0</v>
      </c>
      <c r="Q154" s="243"/>
      <c r="R154" s="243"/>
      <c r="S154" s="243"/>
      <c r="T154" s="243"/>
      <c r="U154" s="243"/>
    </row>
    <row r="155" spans="2:21" ht="13.5" thickBot="1">
      <c r="B155" s="145" t="str">
        <f t="shared" si="21"/>
        <v/>
      </c>
      <c r="C155" s="524">
        <f>IF(D94="","-",+C154+1)</f>
        <v>2065</v>
      </c>
      <c r="D155" s="527">
        <f>IF(F154+SUM(E$100:E154)=D$93,F154,D$93-SUM(E$100:E154))</f>
        <v>0</v>
      </c>
      <c r="E155" s="526">
        <f>IF(+J97&lt;F154,J97,D155)</f>
        <v>0</v>
      </c>
      <c r="F155" s="527">
        <f t="shared" si="35"/>
        <v>0</v>
      </c>
      <c r="G155" s="527">
        <f t="shared" si="36"/>
        <v>0</v>
      </c>
      <c r="H155" s="528">
        <f t="shared" si="33"/>
        <v>0</v>
      </c>
      <c r="I155" s="573">
        <f t="shared" si="34"/>
        <v>0</v>
      </c>
      <c r="J155" s="531">
        <f t="shared" si="37"/>
        <v>0</v>
      </c>
      <c r="K155" s="504"/>
      <c r="L155" s="530"/>
      <c r="M155" s="531">
        <f t="shared" si="38"/>
        <v>0</v>
      </c>
      <c r="N155" s="530"/>
      <c r="O155" s="531">
        <f t="shared" si="39"/>
        <v>0</v>
      </c>
      <c r="P155" s="531">
        <f t="shared" si="40"/>
        <v>0</v>
      </c>
      <c r="Q155" s="243"/>
      <c r="R155" s="243"/>
      <c r="S155" s="243"/>
      <c r="T155" s="243"/>
      <c r="U155" s="243"/>
    </row>
    <row r="156" spans="2:21">
      <c r="C156" s="349" t="s">
        <v>75</v>
      </c>
      <c r="D156" s="294"/>
      <c r="E156" s="294">
        <f>SUM(E100:E155)</f>
        <v>985777.34000000008</v>
      </c>
      <c r="F156" s="294"/>
      <c r="G156" s="294"/>
      <c r="H156" s="294">
        <f>SUM(H100:H155)</f>
        <v>2771796.4509390676</v>
      </c>
      <c r="I156" s="294">
        <f>SUM(I100:I155)</f>
        <v>2771796.4509390676</v>
      </c>
      <c r="J156" s="294">
        <f>SUM(J100:J155)</f>
        <v>0</v>
      </c>
      <c r="K156" s="294"/>
      <c r="L156" s="294"/>
      <c r="M156" s="294"/>
      <c r="N156" s="294"/>
      <c r="O156" s="294"/>
      <c r="P156" s="243"/>
      <c r="Q156" s="243"/>
      <c r="R156" s="243"/>
      <c r="S156" s="243"/>
      <c r="T156" s="243"/>
      <c r="U156" s="243"/>
    </row>
    <row r="157" spans="2:21">
      <c r="D157" s="292"/>
      <c r="E157" s="243"/>
      <c r="F157" s="243"/>
      <c r="G157" s="243"/>
      <c r="H157" s="243"/>
      <c r="I157" s="325"/>
      <c r="J157" s="325"/>
      <c r="K157" s="294"/>
      <c r="L157" s="325"/>
      <c r="M157" s="325"/>
      <c r="N157" s="325"/>
      <c r="O157" s="325"/>
      <c r="P157" s="243"/>
      <c r="Q157" s="243"/>
      <c r="R157" s="243"/>
      <c r="S157" s="243"/>
      <c r="T157" s="243"/>
      <c r="U157" s="243"/>
    </row>
    <row r="158" spans="2:21">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c r="D159" s="292"/>
      <c r="E159" s="243"/>
      <c r="F159" s="243"/>
      <c r="G159" s="243"/>
      <c r="H159" s="243"/>
      <c r="I159" s="325"/>
      <c r="J159" s="325"/>
      <c r="K159" s="294"/>
      <c r="L159" s="325"/>
      <c r="M159" s="325"/>
      <c r="N159" s="325"/>
      <c r="O159" s="325"/>
      <c r="P159" s="243"/>
      <c r="Q159" s="243"/>
      <c r="R159" s="243"/>
      <c r="S159" s="243"/>
      <c r="T159" s="243"/>
      <c r="U159" s="243"/>
    </row>
    <row r="160" spans="2:21">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57" priority="1" stopIfTrue="1" operator="equal">
      <formula>$I$10</formula>
    </cfRule>
  </conditionalFormatting>
  <conditionalFormatting sqref="C100:C155">
    <cfRule type="cellIs" dxfId="56"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U163"/>
  <sheetViews>
    <sheetView view="pageBreakPreview" topLeftCell="A4" zoomScale="85" zoomScaleNormal="100"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8.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3 of 23</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72051.357380752626</v>
      </c>
      <c r="P5" s="243"/>
      <c r="R5" s="243"/>
      <c r="S5" s="243"/>
      <c r="T5" s="243"/>
      <c r="U5" s="243"/>
    </row>
    <row r="6" spans="1:21" ht="15.75">
      <c r="C6" s="235"/>
      <c r="D6" s="292"/>
      <c r="E6" s="243"/>
      <c r="F6" s="243"/>
      <c r="G6" s="243"/>
      <c r="H6" s="449"/>
      <c r="I6" s="449"/>
      <c r="J6" s="450"/>
      <c r="K6" s="451" t="s">
        <v>243</v>
      </c>
      <c r="L6" s="452"/>
      <c r="M6" s="278"/>
      <c r="N6" s="453">
        <f>VLOOKUP(I10,C17:I73,6)</f>
        <v>72051.357380752626</v>
      </c>
      <c r="O6" s="243"/>
      <c r="P6" s="243"/>
      <c r="R6" s="243"/>
      <c r="S6" s="243"/>
      <c r="T6" s="243"/>
      <c r="U6" s="243"/>
    </row>
    <row r="7" spans="1:21" ht="13.5" thickBot="1">
      <c r="C7" s="454" t="s">
        <v>46</v>
      </c>
      <c r="D7" s="455" t="s">
        <v>199</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198</v>
      </c>
      <c r="E9" s="647" t="s">
        <v>310</v>
      </c>
      <c r="F9" s="465"/>
      <c r="G9" s="465"/>
      <c r="H9" s="465"/>
      <c r="I9" s="466"/>
      <c r="J9" s="467"/>
      <c r="O9" s="468"/>
      <c r="P9" s="278"/>
      <c r="R9" s="243"/>
      <c r="S9" s="243"/>
      <c r="T9" s="243"/>
      <c r="U9" s="243"/>
    </row>
    <row r="10" spans="1:21">
      <c r="C10" s="469" t="s">
        <v>49</v>
      </c>
      <c r="D10" s="470">
        <v>614753</v>
      </c>
      <c r="E10" s="299" t="s">
        <v>50</v>
      </c>
      <c r="F10" s="468"/>
      <c r="G10" s="408"/>
      <c r="H10" s="408"/>
      <c r="I10" s="471">
        <f>+OKT.WS.F.BPU.ATRR.Projected!R101</f>
        <v>2022</v>
      </c>
      <c r="J10" s="467"/>
      <c r="K10" s="294" t="s">
        <v>51</v>
      </c>
      <c r="O10" s="278"/>
      <c r="P10" s="278"/>
      <c r="R10" s="243"/>
      <c r="S10" s="243"/>
      <c r="T10" s="243"/>
      <c r="U10" s="243"/>
    </row>
    <row r="11" spans="1:21">
      <c r="C11" s="472" t="s">
        <v>52</v>
      </c>
      <c r="D11" s="473">
        <v>2011</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10</v>
      </c>
      <c r="E12" s="472" t="s">
        <v>55</v>
      </c>
      <c r="F12" s="408"/>
      <c r="G12" s="220"/>
      <c r="H12" s="220"/>
      <c r="I12" s="476">
        <f>OKT.WS.F.BPU.ATRR.Projected!$F$79</f>
        <v>0.11475877389767174</v>
      </c>
      <c r="J12" s="578"/>
      <c r="K12" s="145" t="s">
        <v>56</v>
      </c>
      <c r="O12" s="278"/>
      <c r="P12" s="278"/>
      <c r="R12" s="243"/>
      <c r="S12" s="243"/>
      <c r="T12" s="243"/>
      <c r="U12" s="243"/>
    </row>
    <row r="13" spans="1:21">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18628.878787878788</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49" si="0">IF(D17=F16,"","IU")</f>
        <v>IU</v>
      </c>
      <c r="C17" s="580">
        <f>IF(D11= "","-",D11)</f>
        <v>2011</v>
      </c>
      <c r="D17" s="496">
        <v>956000</v>
      </c>
      <c r="E17" s="497">
        <v>1378.1704053213118</v>
      </c>
      <c r="F17" s="496">
        <v>954621.82959467871</v>
      </c>
      <c r="G17" s="498">
        <v>125484.70184654166</v>
      </c>
      <c r="H17" s="499">
        <v>125484.70184654166</v>
      </c>
      <c r="I17" s="584">
        <f>H17-G17</f>
        <v>0</v>
      </c>
      <c r="J17" s="350"/>
      <c r="K17" s="506">
        <f t="shared" ref="K17:K22" si="1">G17</f>
        <v>125484.70184654166</v>
      </c>
      <c r="L17" s="585">
        <f t="shared" ref="L17:L49" si="2">IF(K17&lt;&gt;0,+G17-K17,0)</f>
        <v>0</v>
      </c>
      <c r="M17" s="506">
        <f t="shared" ref="M17:M22" si="3">H17</f>
        <v>125484.70184654166</v>
      </c>
      <c r="N17" s="586">
        <f t="shared" ref="N17:N49" si="4">IF(M17&lt;&gt;0,+H17-M17,0)</f>
        <v>0</v>
      </c>
      <c r="O17" s="504">
        <f t="shared" ref="O17:O49" si="5">+N17-L17</f>
        <v>0</v>
      </c>
      <c r="P17" s="278"/>
      <c r="R17" s="243"/>
      <c r="S17" s="243"/>
      <c r="T17" s="243"/>
      <c r="U17" s="243"/>
    </row>
    <row r="18" spans="2:21">
      <c r="B18" s="145" t="str">
        <f t="shared" si="0"/>
        <v/>
      </c>
      <c r="C18" s="495">
        <f>IF(D11="","-",+C17+1)</f>
        <v>2012</v>
      </c>
      <c r="D18" s="505">
        <v>954621.82959467871</v>
      </c>
      <c r="E18" s="498">
        <v>10633.668760887396</v>
      </c>
      <c r="F18" s="505">
        <v>943988.16083379136</v>
      </c>
      <c r="G18" s="498">
        <v>101867.32341201812</v>
      </c>
      <c r="H18" s="499">
        <v>101867.32341201812</v>
      </c>
      <c r="I18" s="500">
        <v>0</v>
      </c>
      <c r="J18" s="350"/>
      <c r="K18" s="506">
        <f t="shared" si="1"/>
        <v>101867.32341201812</v>
      </c>
      <c r="L18" s="350">
        <f t="shared" si="2"/>
        <v>0</v>
      </c>
      <c r="M18" s="506">
        <f t="shared" si="3"/>
        <v>101867.32341201812</v>
      </c>
      <c r="N18" s="500">
        <f t="shared" si="4"/>
        <v>0</v>
      </c>
      <c r="O18" s="504">
        <f t="shared" si="5"/>
        <v>0</v>
      </c>
      <c r="P18" s="278"/>
      <c r="R18" s="243"/>
      <c r="S18" s="243"/>
      <c r="T18" s="243"/>
      <c r="U18" s="243"/>
    </row>
    <row r="19" spans="2:21">
      <c r="B19" s="145" t="str">
        <f t="shared" si="0"/>
        <v>IU</v>
      </c>
      <c r="C19" s="495">
        <f>IF(D11="","-",+C18+1)</f>
        <v>2013</v>
      </c>
      <c r="D19" s="505">
        <v>602741.16083379125</v>
      </c>
      <c r="E19" s="498">
        <v>10634.741311914131</v>
      </c>
      <c r="F19" s="505">
        <v>592106.41952187708</v>
      </c>
      <c r="G19" s="498">
        <v>75317.164005617815</v>
      </c>
      <c r="H19" s="499">
        <v>75317.164005617815</v>
      </c>
      <c r="I19" s="500">
        <v>0</v>
      </c>
      <c r="J19" s="350"/>
      <c r="K19" s="506">
        <f t="shared" si="1"/>
        <v>75317.164005617815</v>
      </c>
      <c r="L19" s="350">
        <f t="shared" ref="L19:L24" si="6">IF(K19&lt;&gt;0,+G19-K19,0)</f>
        <v>0</v>
      </c>
      <c r="M19" s="506">
        <f t="shared" si="3"/>
        <v>75317.164005617815</v>
      </c>
      <c r="N19" s="500">
        <f>IF(M19&lt;&gt;0,+H19-M19,0)</f>
        <v>0</v>
      </c>
      <c r="O19" s="504">
        <f>+N19-L19</f>
        <v>0</v>
      </c>
      <c r="P19" s="278"/>
      <c r="R19" s="243"/>
      <c r="S19" s="243"/>
      <c r="T19" s="243"/>
      <c r="U19" s="243"/>
    </row>
    <row r="20" spans="2:21">
      <c r="B20" s="145" t="str">
        <f t="shared" si="0"/>
        <v/>
      </c>
      <c r="C20" s="495">
        <f>IF(D11="","-",+C19+1)</f>
        <v>2014</v>
      </c>
      <c r="D20" s="505">
        <v>592106.41952187708</v>
      </c>
      <c r="E20" s="498">
        <v>10634.741311914131</v>
      </c>
      <c r="F20" s="505">
        <v>581471.67820996291</v>
      </c>
      <c r="G20" s="498">
        <v>74612.516014807363</v>
      </c>
      <c r="H20" s="499">
        <v>74612.516014807363</v>
      </c>
      <c r="I20" s="500">
        <v>0</v>
      </c>
      <c r="J20" s="350"/>
      <c r="K20" s="506">
        <f t="shared" si="1"/>
        <v>74612.516014807363</v>
      </c>
      <c r="L20" s="350">
        <f t="shared" si="6"/>
        <v>0</v>
      </c>
      <c r="M20" s="506">
        <f t="shared" si="3"/>
        <v>74612.516014807363</v>
      </c>
      <c r="N20" s="500">
        <f>IF(M20&lt;&gt;0,+H20-M20,0)</f>
        <v>0</v>
      </c>
      <c r="O20" s="504">
        <f>+N20-L20</f>
        <v>0</v>
      </c>
      <c r="P20" s="278"/>
      <c r="R20" s="243"/>
      <c r="S20" s="243"/>
      <c r="T20" s="243"/>
      <c r="U20" s="243"/>
    </row>
    <row r="21" spans="2:21">
      <c r="B21" s="145" t="str">
        <f t="shared" si="0"/>
        <v/>
      </c>
      <c r="C21" s="495">
        <f>IF(D12="","-",+C20+1)</f>
        <v>2015</v>
      </c>
      <c r="D21" s="505">
        <v>581471.67820996291</v>
      </c>
      <c r="E21" s="498">
        <v>10634.741311914131</v>
      </c>
      <c r="F21" s="505">
        <v>570836.93689804873</v>
      </c>
      <c r="G21" s="498">
        <v>69468.300328468598</v>
      </c>
      <c r="H21" s="499">
        <v>69468.300328468569</v>
      </c>
      <c r="I21" s="500">
        <v>0</v>
      </c>
      <c r="J21" s="350"/>
      <c r="K21" s="506">
        <f t="shared" si="1"/>
        <v>69468.300328468598</v>
      </c>
      <c r="L21" s="350">
        <f t="shared" si="6"/>
        <v>0</v>
      </c>
      <c r="M21" s="506">
        <f t="shared" si="3"/>
        <v>69468.300328468569</v>
      </c>
      <c r="N21" s="500">
        <f>IF(M21&lt;&gt;0,+H21-M21,0)</f>
        <v>0</v>
      </c>
      <c r="O21" s="504">
        <f>+N21-L21</f>
        <v>0</v>
      </c>
      <c r="P21" s="278"/>
      <c r="R21" s="243"/>
      <c r="S21" s="243"/>
      <c r="T21" s="243"/>
      <c r="U21" s="243"/>
    </row>
    <row r="22" spans="2:21">
      <c r="B22" s="145" t="str">
        <f t="shared" si="0"/>
        <v/>
      </c>
      <c r="C22" s="495">
        <f>IF(D11="","-",+C21+1)</f>
        <v>2016</v>
      </c>
      <c r="D22" s="505">
        <v>570836.93689804873</v>
      </c>
      <c r="E22" s="498">
        <v>12774.231778414165</v>
      </c>
      <c r="F22" s="505">
        <v>558062.70511963451</v>
      </c>
      <c r="G22" s="498">
        <v>72978.242931137109</v>
      </c>
      <c r="H22" s="499">
        <v>72978.242931137109</v>
      </c>
      <c r="I22" s="500">
        <f t="shared" ref="I22:I49" si="7">H22-G22</f>
        <v>0</v>
      </c>
      <c r="J22" s="500"/>
      <c r="K22" s="506">
        <f t="shared" si="1"/>
        <v>72978.242931137109</v>
      </c>
      <c r="L22" s="350">
        <f t="shared" si="6"/>
        <v>0</v>
      </c>
      <c r="M22" s="506">
        <f t="shared" si="3"/>
        <v>72978.242931137109</v>
      </c>
      <c r="N22" s="500">
        <f t="shared" si="4"/>
        <v>0</v>
      </c>
      <c r="O22" s="504">
        <f t="shared" si="5"/>
        <v>0</v>
      </c>
      <c r="P22" s="278"/>
      <c r="R22" s="243"/>
      <c r="S22" s="243"/>
      <c r="T22" s="243"/>
      <c r="U22" s="243"/>
    </row>
    <row r="23" spans="2:21">
      <c r="B23" s="145" t="str">
        <f t="shared" si="0"/>
        <v/>
      </c>
      <c r="C23" s="495">
        <f>IF(D11="","-",+C22+1)</f>
        <v>2017</v>
      </c>
      <c r="D23" s="505">
        <v>558062.70511963451</v>
      </c>
      <c r="E23" s="498">
        <v>12087.261057971307</v>
      </c>
      <c r="F23" s="505">
        <v>545975.44406166323</v>
      </c>
      <c r="G23" s="498">
        <v>72776.222858216002</v>
      </c>
      <c r="H23" s="499">
        <v>72776.222858216002</v>
      </c>
      <c r="I23" s="500">
        <f t="shared" si="7"/>
        <v>0</v>
      </c>
      <c r="J23" s="500"/>
      <c r="K23" s="506">
        <f>G23</f>
        <v>72776.222858216002</v>
      </c>
      <c r="L23" s="350">
        <f t="shared" si="6"/>
        <v>0</v>
      </c>
      <c r="M23" s="506">
        <f>H23</f>
        <v>72776.222858216002</v>
      </c>
      <c r="N23" s="500">
        <f>IF(M23&lt;&gt;0,+H23-M23,0)</f>
        <v>0</v>
      </c>
      <c r="O23" s="504">
        <f>+N23-L23</f>
        <v>0</v>
      </c>
      <c r="P23" s="278"/>
      <c r="R23" s="243"/>
      <c r="S23" s="243"/>
      <c r="T23" s="243"/>
      <c r="U23" s="243"/>
    </row>
    <row r="24" spans="2:21">
      <c r="B24" s="145" t="str">
        <f t="shared" si="0"/>
        <v/>
      </c>
      <c r="C24" s="495">
        <f>IF(D11="","-",+C23+1)</f>
        <v>2018</v>
      </c>
      <c r="D24" s="505">
        <v>545975.44406166323</v>
      </c>
      <c r="E24" s="498">
        <v>15076.56031908646</v>
      </c>
      <c r="F24" s="505">
        <v>530898.88374257681</v>
      </c>
      <c r="G24" s="498">
        <v>69794.510007934223</v>
      </c>
      <c r="H24" s="499">
        <v>69794.510007934223</v>
      </c>
      <c r="I24" s="500">
        <v>0</v>
      </c>
      <c r="J24" s="500"/>
      <c r="K24" s="506">
        <f>G24</f>
        <v>69794.510007934223</v>
      </c>
      <c r="L24" s="350">
        <f t="shared" si="6"/>
        <v>0</v>
      </c>
      <c r="M24" s="506">
        <f>H24</f>
        <v>69794.510007934223</v>
      </c>
      <c r="N24" s="500">
        <f>IF(M24&lt;&gt;0,+H24-M24,0)</f>
        <v>0</v>
      </c>
      <c r="O24" s="504">
        <f>+N24-L24</f>
        <v>0</v>
      </c>
      <c r="P24" s="278"/>
      <c r="R24" s="243"/>
      <c r="S24" s="243"/>
      <c r="T24" s="243"/>
      <c r="U24" s="243"/>
    </row>
    <row r="25" spans="2:21">
      <c r="B25" s="145" t="str">
        <f t="shared" si="0"/>
        <v/>
      </c>
      <c r="C25" s="495">
        <f>IF(D11="","-",+C24+1)</f>
        <v>2019</v>
      </c>
      <c r="D25" s="505">
        <v>530898.88374257681</v>
      </c>
      <c r="E25" s="498">
        <v>18232.865121942861</v>
      </c>
      <c r="F25" s="505">
        <v>512666.01862063393</v>
      </c>
      <c r="G25" s="498">
        <v>72464.827452468948</v>
      </c>
      <c r="H25" s="499">
        <v>72464.827452468948</v>
      </c>
      <c r="I25" s="500">
        <f t="shared" si="7"/>
        <v>0</v>
      </c>
      <c r="J25" s="500"/>
      <c r="K25" s="506">
        <f>G25</f>
        <v>72464.827452468948</v>
      </c>
      <c r="L25" s="350">
        <f t="shared" ref="L25" si="8">IF(K25&lt;&gt;0,+G25-K25,0)</f>
        <v>0</v>
      </c>
      <c r="M25" s="506">
        <f>H25</f>
        <v>72464.827452468948</v>
      </c>
      <c r="N25" s="500">
        <f>IF(M25&lt;&gt;0,+H25-M25,0)</f>
        <v>0</v>
      </c>
      <c r="O25" s="504">
        <f>+N25-L25</f>
        <v>0</v>
      </c>
      <c r="P25" s="278"/>
      <c r="R25" s="243"/>
      <c r="S25" s="243"/>
      <c r="T25" s="243"/>
      <c r="U25" s="243"/>
    </row>
    <row r="26" spans="2:21">
      <c r="B26" s="145" t="str">
        <f t="shared" si="0"/>
        <v>IU</v>
      </c>
      <c r="C26" s="495">
        <f>IF(D11="","-",+C25+1)</f>
        <v>2020</v>
      </c>
      <c r="D26" s="505">
        <v>515822.32342349034</v>
      </c>
      <c r="E26" s="498">
        <v>18001.062389209259</v>
      </c>
      <c r="F26" s="505">
        <v>497821.26103428105</v>
      </c>
      <c r="G26" s="498">
        <v>71183.123031214564</v>
      </c>
      <c r="H26" s="499">
        <v>71183.123031214564</v>
      </c>
      <c r="I26" s="500">
        <f t="shared" si="7"/>
        <v>0</v>
      </c>
      <c r="J26" s="500"/>
      <c r="K26" s="506">
        <f>G26</f>
        <v>71183.123031214564</v>
      </c>
      <c r="L26" s="350">
        <f t="shared" ref="L26" si="9">IF(K26&lt;&gt;0,+G26-K26,0)</f>
        <v>0</v>
      </c>
      <c r="M26" s="506">
        <f>H26</f>
        <v>71183.123031214564</v>
      </c>
      <c r="N26" s="500">
        <f>IF(M26&lt;&gt;0,+H26-M26,0)</f>
        <v>0</v>
      </c>
      <c r="O26" s="504">
        <f t="shared" si="5"/>
        <v>0</v>
      </c>
      <c r="P26" s="278"/>
      <c r="R26" s="243"/>
      <c r="S26" s="243"/>
      <c r="T26" s="243"/>
      <c r="U26" s="243"/>
    </row>
    <row r="27" spans="2:21">
      <c r="B27" s="145" t="str">
        <f t="shared" si="0"/>
        <v>IU</v>
      </c>
      <c r="C27" s="495">
        <f>IF(D11="","-",+C26+1)</f>
        <v>2021</v>
      </c>
      <c r="D27" s="505">
        <v>494664.95623142482</v>
      </c>
      <c r="E27" s="498">
        <v>19830.741935483871</v>
      </c>
      <c r="F27" s="505">
        <v>474834.21429594094</v>
      </c>
      <c r="G27" s="498">
        <v>72273.408385464543</v>
      </c>
      <c r="H27" s="499">
        <v>72273.408385464543</v>
      </c>
      <c r="I27" s="500">
        <f t="shared" si="7"/>
        <v>0</v>
      </c>
      <c r="J27" s="500"/>
      <c r="K27" s="506">
        <f>G27</f>
        <v>72273.408385464543</v>
      </c>
      <c r="L27" s="350">
        <f t="shared" ref="L27" si="10">IF(K27&lt;&gt;0,+G27-K27,0)</f>
        <v>0</v>
      </c>
      <c r="M27" s="506">
        <f>H27</f>
        <v>72273.408385464543</v>
      </c>
      <c r="N27" s="500">
        <f>IF(M27&lt;&gt;0,+H27-M27,0)</f>
        <v>0</v>
      </c>
      <c r="O27" s="504">
        <f t="shared" si="5"/>
        <v>0</v>
      </c>
      <c r="P27" s="278"/>
      <c r="R27" s="243"/>
      <c r="S27" s="243"/>
      <c r="T27" s="243"/>
      <c r="U27" s="243"/>
    </row>
    <row r="28" spans="2:21">
      <c r="B28" s="145" t="str">
        <f t="shared" si="0"/>
        <v/>
      </c>
      <c r="C28" s="495">
        <f>IF(D11="","-",+C27+1)</f>
        <v>2022</v>
      </c>
      <c r="D28" s="508">
        <f>IF(F27+SUM(E$17:E27)=D$10,F27,D$10-SUM(E$17:E27))</f>
        <v>474834.21429594094</v>
      </c>
      <c r="E28" s="509">
        <f>IF(+I14&lt;F27,I14,D28)</f>
        <v>18628.878787878788</v>
      </c>
      <c r="F28" s="510">
        <f t="shared" ref="F28:F50" si="11">+D28-E28</f>
        <v>456205.33550806215</v>
      </c>
      <c r="G28" s="511">
        <f t="shared" ref="G28:G73" si="12">(D28+F28)/2*I$12+E28</f>
        <v>72051.357380752626</v>
      </c>
      <c r="H28" s="477">
        <f t="shared" ref="H28:H73" si="13">+(D28+F28)/2*I$13+E28</f>
        <v>72051.357380752626</v>
      </c>
      <c r="I28" s="500">
        <f t="shared" si="7"/>
        <v>0</v>
      </c>
      <c r="J28" s="500"/>
      <c r="K28" s="512"/>
      <c r="L28" s="504">
        <f t="shared" si="2"/>
        <v>0</v>
      </c>
      <c r="M28" s="512"/>
      <c r="N28" s="504">
        <f t="shared" si="4"/>
        <v>0</v>
      </c>
      <c r="O28" s="504">
        <f t="shared" si="5"/>
        <v>0</v>
      </c>
      <c r="P28" s="278"/>
      <c r="R28" s="243"/>
      <c r="S28" s="243"/>
      <c r="T28" s="243"/>
      <c r="U28" s="243"/>
    </row>
    <row r="29" spans="2:21">
      <c r="B29" s="145" t="str">
        <f t="shared" si="0"/>
        <v/>
      </c>
      <c r="C29" s="495">
        <f>IF(D11="","-",+C28+1)</f>
        <v>2023</v>
      </c>
      <c r="D29" s="508">
        <f>IF(F28+SUM(E$17:E28)=D$10,F28,D$10-SUM(E$17:E28))</f>
        <v>456205.33550806215</v>
      </c>
      <c r="E29" s="509">
        <f>IF(+I14&lt;F28,I14,D29)</f>
        <v>18628.878787878788</v>
      </c>
      <c r="F29" s="510">
        <f t="shared" si="11"/>
        <v>437576.45672018337</v>
      </c>
      <c r="G29" s="511">
        <f t="shared" si="12"/>
        <v>69913.530091967317</v>
      </c>
      <c r="H29" s="477">
        <f t="shared" si="13"/>
        <v>69913.530091967317</v>
      </c>
      <c r="I29" s="500">
        <f t="shared" si="7"/>
        <v>0</v>
      </c>
      <c r="J29" s="500"/>
      <c r="K29" s="512"/>
      <c r="L29" s="504">
        <f t="shared" si="2"/>
        <v>0</v>
      </c>
      <c r="M29" s="512"/>
      <c r="N29" s="504">
        <f t="shared" si="4"/>
        <v>0</v>
      </c>
      <c r="O29" s="504">
        <f t="shared" si="5"/>
        <v>0</v>
      </c>
      <c r="P29" s="278"/>
      <c r="R29" s="243"/>
      <c r="S29" s="243"/>
      <c r="T29" s="243"/>
      <c r="U29" s="243"/>
    </row>
    <row r="30" spans="2:21">
      <c r="B30" s="145" t="str">
        <f t="shared" si="0"/>
        <v/>
      </c>
      <c r="C30" s="495">
        <f>IF(D11="","-",+C29+1)</f>
        <v>2024</v>
      </c>
      <c r="D30" s="508">
        <f>IF(F29+SUM(E$17:E29)=D$10,F29,D$10-SUM(E$17:E29))</f>
        <v>437576.45672018337</v>
      </c>
      <c r="E30" s="509">
        <f>IF(+I14&lt;F29,I14,D30)</f>
        <v>18628.878787878788</v>
      </c>
      <c r="F30" s="510">
        <f t="shared" si="11"/>
        <v>418947.57793230459</v>
      </c>
      <c r="G30" s="511">
        <f t="shared" si="12"/>
        <v>67775.702803181994</v>
      </c>
      <c r="H30" s="477">
        <f t="shared" si="13"/>
        <v>67775.702803181994</v>
      </c>
      <c r="I30" s="500">
        <f t="shared" si="7"/>
        <v>0</v>
      </c>
      <c r="J30" s="500"/>
      <c r="K30" s="512"/>
      <c r="L30" s="504">
        <f t="shared" si="2"/>
        <v>0</v>
      </c>
      <c r="M30" s="512"/>
      <c r="N30" s="504">
        <f t="shared" si="4"/>
        <v>0</v>
      </c>
      <c r="O30" s="504">
        <f t="shared" si="5"/>
        <v>0</v>
      </c>
      <c r="P30" s="278"/>
      <c r="R30" s="243"/>
      <c r="S30" s="243"/>
      <c r="T30" s="243"/>
      <c r="U30" s="243"/>
    </row>
    <row r="31" spans="2:21">
      <c r="B31" s="145" t="str">
        <f t="shared" si="0"/>
        <v/>
      </c>
      <c r="C31" s="495">
        <f>IF(D11="","-",+C30+1)</f>
        <v>2025</v>
      </c>
      <c r="D31" s="508">
        <f>IF(F30+SUM(E$17:E30)=D$10,F30,D$10-SUM(E$17:E30))</f>
        <v>418947.57793230459</v>
      </c>
      <c r="E31" s="509">
        <f>IF(+I14&lt;F30,I14,D31)</f>
        <v>18628.878787878788</v>
      </c>
      <c r="F31" s="510">
        <f t="shared" si="11"/>
        <v>400318.6991444258</v>
      </c>
      <c r="G31" s="511">
        <f t="shared" si="12"/>
        <v>65637.875514396685</v>
      </c>
      <c r="H31" s="477">
        <f t="shared" si="13"/>
        <v>65637.875514396685</v>
      </c>
      <c r="I31" s="500">
        <f t="shared" si="7"/>
        <v>0</v>
      </c>
      <c r="J31" s="350"/>
      <c r="K31" s="512"/>
      <c r="L31" s="504">
        <f>IF(K31&lt;&gt;0,+G31-K31,0)</f>
        <v>0</v>
      </c>
      <c r="M31" s="512"/>
      <c r="N31" s="504">
        <f>IF(M31&lt;&gt;0,+H31-M31,0)</f>
        <v>0</v>
      </c>
      <c r="O31" s="504">
        <f>+N31-L31</f>
        <v>0</v>
      </c>
      <c r="P31" s="278"/>
      <c r="Q31" s="220"/>
      <c r="R31" s="278"/>
      <c r="S31" s="278"/>
      <c r="T31" s="278"/>
      <c r="U31" s="243"/>
    </row>
    <row r="32" spans="2:21">
      <c r="B32" s="145" t="str">
        <f t="shared" si="0"/>
        <v/>
      </c>
      <c r="C32" s="495">
        <f>IF(D12="","-",+C31+1)</f>
        <v>2026</v>
      </c>
      <c r="D32" s="508">
        <f>IF(F31+SUM(E$17:E31)=D$10,F31,D$10-SUM(E$17:E31))</f>
        <v>400318.6991444258</v>
      </c>
      <c r="E32" s="509">
        <f>IF(+I14&lt;F31,I14,D32)</f>
        <v>18628.878787878788</v>
      </c>
      <c r="F32" s="510">
        <f>+D32-E32</f>
        <v>381689.82035654702</v>
      </c>
      <c r="G32" s="511">
        <f t="shared" si="12"/>
        <v>63500.048225611361</v>
      </c>
      <c r="H32" s="477">
        <f t="shared" si="13"/>
        <v>63500.048225611361</v>
      </c>
      <c r="I32" s="500">
        <f>H32-G32</f>
        <v>0</v>
      </c>
      <c r="J32" s="35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2027</v>
      </c>
      <c r="D33" s="508">
        <f>IF(F32+SUM(E$17:E32)=D$10,F32,D$10-SUM(E$17:E32))</f>
        <v>381689.82035654702</v>
      </c>
      <c r="E33" s="509">
        <f>IF(+I14&lt;F31,I14,D33)</f>
        <v>18628.878787878788</v>
      </c>
      <c r="F33" s="510">
        <f t="shared" si="11"/>
        <v>363060.94156866823</v>
      </c>
      <c r="G33" s="511">
        <f t="shared" si="12"/>
        <v>61362.220936826052</v>
      </c>
      <c r="H33" s="477">
        <f t="shared" si="13"/>
        <v>61362.220936826052</v>
      </c>
      <c r="I33" s="500">
        <f t="shared" si="7"/>
        <v>0</v>
      </c>
      <c r="J33" s="500"/>
      <c r="K33" s="512"/>
      <c r="L33" s="504">
        <f>IF(K33&lt;&gt;0,+G33-K33,0)</f>
        <v>0</v>
      </c>
      <c r="M33" s="512"/>
      <c r="N33" s="504">
        <f>IF(M33&lt;&gt;0,+H33-M33,0)</f>
        <v>0</v>
      </c>
      <c r="O33" s="504">
        <f>+N33-L33</f>
        <v>0</v>
      </c>
      <c r="P33" s="278"/>
      <c r="R33" s="243"/>
      <c r="S33" s="243"/>
      <c r="T33" s="243"/>
      <c r="U33" s="243"/>
    </row>
    <row r="34" spans="2:21">
      <c r="B34" s="145" t="str">
        <f t="shared" si="0"/>
        <v/>
      </c>
      <c r="C34" s="495">
        <f>IF(D14="","-",+C33+1)</f>
        <v>2028</v>
      </c>
      <c r="D34" s="514">
        <f>IF(F33+SUM(E$17:E33)=D$10,F33,D$10-SUM(E$17:E33))</f>
        <v>363060.94156866823</v>
      </c>
      <c r="E34" s="515">
        <f>IF(+I14&lt;F33,I14,D34)</f>
        <v>18628.878787878788</v>
      </c>
      <c r="F34" s="516">
        <f t="shared" si="11"/>
        <v>344432.06278078945</v>
      </c>
      <c r="G34" s="517">
        <f t="shared" si="12"/>
        <v>59224.393648040743</v>
      </c>
      <c r="H34" s="518">
        <f t="shared" si="13"/>
        <v>59224.393648040743</v>
      </c>
      <c r="I34" s="519">
        <f t="shared" si="7"/>
        <v>0</v>
      </c>
      <c r="J34" s="519"/>
      <c r="K34" s="520"/>
      <c r="L34" s="521">
        <f t="shared" si="2"/>
        <v>0</v>
      </c>
      <c r="M34" s="520"/>
      <c r="N34" s="521">
        <f t="shared" si="4"/>
        <v>0</v>
      </c>
      <c r="O34" s="521">
        <f t="shared" si="5"/>
        <v>0</v>
      </c>
      <c r="P34" s="522"/>
      <c r="Q34" s="216"/>
      <c r="R34" s="522"/>
      <c r="S34" s="522"/>
      <c r="T34" s="522"/>
      <c r="U34" s="243"/>
    </row>
    <row r="35" spans="2:21">
      <c r="B35" s="145" t="str">
        <f t="shared" si="0"/>
        <v/>
      </c>
      <c r="C35" s="495">
        <f>IF(D11="","-",+C34+1)</f>
        <v>2029</v>
      </c>
      <c r="D35" s="508">
        <f>IF(F34+SUM(E$17:E34)=D$10,F34,D$10-SUM(E$17:E34))</f>
        <v>344432.06278078945</v>
      </c>
      <c r="E35" s="509">
        <f>IF(+I14&lt;F34,I14,D35)</f>
        <v>18628.878787878788</v>
      </c>
      <c r="F35" s="510">
        <f t="shared" si="11"/>
        <v>325803.18399291066</v>
      </c>
      <c r="G35" s="511">
        <f t="shared" si="12"/>
        <v>57086.566359255419</v>
      </c>
      <c r="H35" s="477">
        <f t="shared" si="13"/>
        <v>57086.566359255419</v>
      </c>
      <c r="I35" s="500">
        <f t="shared" si="7"/>
        <v>0</v>
      </c>
      <c r="J35" s="500"/>
      <c r="K35" s="512"/>
      <c r="L35" s="504">
        <f t="shared" si="2"/>
        <v>0</v>
      </c>
      <c r="M35" s="512"/>
      <c r="N35" s="504">
        <f t="shared" si="4"/>
        <v>0</v>
      </c>
      <c r="O35" s="504">
        <f t="shared" si="5"/>
        <v>0</v>
      </c>
      <c r="P35" s="278"/>
      <c r="R35" s="243"/>
      <c r="S35" s="243"/>
      <c r="T35" s="243"/>
      <c r="U35" s="243"/>
    </row>
    <row r="36" spans="2:21">
      <c r="B36" s="145" t="str">
        <f t="shared" si="0"/>
        <v/>
      </c>
      <c r="C36" s="495">
        <f>IF(D11="","-",+C35+1)</f>
        <v>2030</v>
      </c>
      <c r="D36" s="508">
        <f>IF(F35+SUM(E$17:E35)=D$10,F35,D$10-SUM(E$17:E35))</f>
        <v>325803.18399291066</v>
      </c>
      <c r="E36" s="509">
        <f>IF(+I14&lt;F35,I14,D36)</f>
        <v>18628.878787878788</v>
      </c>
      <c r="F36" s="510">
        <f t="shared" si="11"/>
        <v>307174.30520503188</v>
      </c>
      <c r="G36" s="511">
        <f t="shared" si="12"/>
        <v>54948.73907047011</v>
      </c>
      <c r="H36" s="477">
        <f t="shared" si="13"/>
        <v>54948.73907047011</v>
      </c>
      <c r="I36" s="500">
        <f t="shared" si="7"/>
        <v>0</v>
      </c>
      <c r="J36" s="500"/>
      <c r="K36" s="512"/>
      <c r="L36" s="504">
        <f t="shared" si="2"/>
        <v>0</v>
      </c>
      <c r="M36" s="512"/>
      <c r="N36" s="504">
        <f t="shared" si="4"/>
        <v>0</v>
      </c>
      <c r="O36" s="504">
        <f t="shared" si="5"/>
        <v>0</v>
      </c>
      <c r="P36" s="278"/>
      <c r="R36" s="243"/>
      <c r="S36" s="243"/>
      <c r="T36" s="243"/>
      <c r="U36" s="243"/>
    </row>
    <row r="37" spans="2:21">
      <c r="B37" s="145" t="str">
        <f t="shared" si="0"/>
        <v/>
      </c>
      <c r="C37" s="495">
        <f>IF(D11="","-",+C36+1)</f>
        <v>2031</v>
      </c>
      <c r="D37" s="508">
        <f>IF(F36+SUM(E$17:E36)=D$10,F36,D$10-SUM(E$17:E36))</f>
        <v>307174.30520503188</v>
      </c>
      <c r="E37" s="509">
        <f>IF(+I14&lt;F36,I14,D37)</f>
        <v>18628.878787878788</v>
      </c>
      <c r="F37" s="510">
        <f t="shared" si="11"/>
        <v>288545.4264171531</v>
      </c>
      <c r="G37" s="511">
        <f t="shared" si="12"/>
        <v>52810.911781684801</v>
      </c>
      <c r="H37" s="477">
        <f t="shared" si="13"/>
        <v>52810.911781684801</v>
      </c>
      <c r="I37" s="500">
        <f t="shared" si="7"/>
        <v>0</v>
      </c>
      <c r="J37" s="500"/>
      <c r="K37" s="512"/>
      <c r="L37" s="504">
        <f t="shared" si="2"/>
        <v>0</v>
      </c>
      <c r="M37" s="512"/>
      <c r="N37" s="504">
        <f t="shared" si="4"/>
        <v>0</v>
      </c>
      <c r="O37" s="504">
        <f t="shared" si="5"/>
        <v>0</v>
      </c>
      <c r="P37" s="278"/>
      <c r="R37" s="243"/>
      <c r="S37" s="243"/>
      <c r="T37" s="243"/>
      <c r="U37" s="243"/>
    </row>
    <row r="38" spans="2:21">
      <c r="B38" s="145" t="str">
        <f t="shared" si="0"/>
        <v/>
      </c>
      <c r="C38" s="495">
        <f>IF(D11="","-",+C37+1)</f>
        <v>2032</v>
      </c>
      <c r="D38" s="508">
        <f>IF(F37+SUM(E$17:E37)=D$10,F37,D$10-SUM(E$17:E37))</f>
        <v>288545.4264171531</v>
      </c>
      <c r="E38" s="509">
        <f>IF(+I14&lt;F37,I14,D38)</f>
        <v>18628.878787878788</v>
      </c>
      <c r="F38" s="510">
        <f t="shared" si="11"/>
        <v>269916.54762927431</v>
      </c>
      <c r="G38" s="511">
        <f t="shared" si="12"/>
        <v>50673.084492899477</v>
      </c>
      <c r="H38" s="477">
        <f t="shared" si="13"/>
        <v>50673.084492899477</v>
      </c>
      <c r="I38" s="500">
        <f t="shared" si="7"/>
        <v>0</v>
      </c>
      <c r="J38" s="500"/>
      <c r="K38" s="512"/>
      <c r="L38" s="504">
        <f t="shared" si="2"/>
        <v>0</v>
      </c>
      <c r="M38" s="512"/>
      <c r="N38" s="504">
        <f t="shared" si="4"/>
        <v>0</v>
      </c>
      <c r="O38" s="504">
        <f t="shared" si="5"/>
        <v>0</v>
      </c>
      <c r="P38" s="278"/>
      <c r="R38" s="243"/>
      <c r="S38" s="243"/>
      <c r="T38" s="243"/>
      <c r="U38" s="243"/>
    </row>
    <row r="39" spans="2:21">
      <c r="B39" s="145" t="str">
        <f t="shared" si="0"/>
        <v/>
      </c>
      <c r="C39" s="495">
        <f>IF(D11="","-",+C38+1)</f>
        <v>2033</v>
      </c>
      <c r="D39" s="508">
        <f>IF(F38+SUM(E$17:E38)=D$10,F38,D$10-SUM(E$17:E38))</f>
        <v>269916.54762927431</v>
      </c>
      <c r="E39" s="509">
        <f>IF(+I14&lt;F38,I14,D39)</f>
        <v>18628.878787878788</v>
      </c>
      <c r="F39" s="510">
        <f t="shared" si="11"/>
        <v>251287.66884139553</v>
      </c>
      <c r="G39" s="511">
        <f t="shared" si="12"/>
        <v>48535.257204114168</v>
      </c>
      <c r="H39" s="477">
        <f t="shared" si="13"/>
        <v>48535.257204114168</v>
      </c>
      <c r="I39" s="500">
        <f t="shared" si="7"/>
        <v>0</v>
      </c>
      <c r="J39" s="500"/>
      <c r="K39" s="512"/>
      <c r="L39" s="504">
        <f t="shared" si="2"/>
        <v>0</v>
      </c>
      <c r="M39" s="512"/>
      <c r="N39" s="504">
        <f t="shared" si="4"/>
        <v>0</v>
      </c>
      <c r="O39" s="504">
        <f t="shared" si="5"/>
        <v>0</v>
      </c>
      <c r="P39" s="278"/>
      <c r="R39" s="243"/>
      <c r="S39" s="243"/>
      <c r="T39" s="243"/>
      <c r="U39" s="243"/>
    </row>
    <row r="40" spans="2:21">
      <c r="B40" s="145" t="str">
        <f t="shared" si="0"/>
        <v/>
      </c>
      <c r="C40" s="495">
        <f>IF(D11="","-",+C39+1)</f>
        <v>2034</v>
      </c>
      <c r="D40" s="508">
        <f>IF(F39+SUM(E$17:E39)=D$10,F39,D$10-SUM(E$17:E39))</f>
        <v>251287.66884139553</v>
      </c>
      <c r="E40" s="509">
        <f>IF(+I14&lt;F39,I14,D40)</f>
        <v>18628.878787878788</v>
      </c>
      <c r="F40" s="510">
        <f t="shared" si="11"/>
        <v>232658.79005351674</v>
      </c>
      <c r="G40" s="511">
        <f t="shared" si="12"/>
        <v>46397.429915328852</v>
      </c>
      <c r="H40" s="477">
        <f t="shared" si="13"/>
        <v>46397.429915328852</v>
      </c>
      <c r="I40" s="500">
        <f t="shared" si="7"/>
        <v>0</v>
      </c>
      <c r="J40" s="500"/>
      <c r="K40" s="512"/>
      <c r="L40" s="504">
        <f t="shared" si="2"/>
        <v>0</v>
      </c>
      <c r="M40" s="512"/>
      <c r="N40" s="504">
        <f t="shared" si="4"/>
        <v>0</v>
      </c>
      <c r="O40" s="504">
        <f t="shared" si="5"/>
        <v>0</v>
      </c>
      <c r="P40" s="278"/>
      <c r="R40" s="243"/>
      <c r="S40" s="243"/>
      <c r="T40" s="243"/>
      <c r="U40" s="243"/>
    </row>
    <row r="41" spans="2:21">
      <c r="B41" s="145" t="str">
        <f t="shared" si="0"/>
        <v/>
      </c>
      <c r="C41" s="495">
        <f>IF(D12="","-",+C40+1)</f>
        <v>2035</v>
      </c>
      <c r="D41" s="508">
        <f>IF(F40+SUM(E$17:E40)=D$10,F40,D$10-SUM(E$17:E40))</f>
        <v>232658.79005351674</v>
      </c>
      <c r="E41" s="509">
        <f>IF(+I14&lt;F40,I14,D41)</f>
        <v>18628.878787878788</v>
      </c>
      <c r="F41" s="510">
        <f t="shared" si="11"/>
        <v>214029.91126563796</v>
      </c>
      <c r="G41" s="511">
        <f t="shared" si="12"/>
        <v>44259.602626543536</v>
      </c>
      <c r="H41" s="477">
        <f t="shared" si="13"/>
        <v>44259.602626543536</v>
      </c>
      <c r="I41" s="500">
        <f t="shared" si="7"/>
        <v>0</v>
      </c>
      <c r="J41" s="500"/>
      <c r="K41" s="512"/>
      <c r="L41" s="504">
        <f t="shared" si="2"/>
        <v>0</v>
      </c>
      <c r="M41" s="512"/>
      <c r="N41" s="504">
        <f t="shared" si="4"/>
        <v>0</v>
      </c>
      <c r="O41" s="504">
        <f t="shared" si="5"/>
        <v>0</v>
      </c>
      <c r="P41" s="278"/>
      <c r="R41" s="243"/>
      <c r="S41" s="243"/>
      <c r="T41" s="243"/>
      <c r="U41" s="243"/>
    </row>
    <row r="42" spans="2:21">
      <c r="B42" s="145" t="str">
        <f t="shared" si="0"/>
        <v/>
      </c>
      <c r="C42" s="495">
        <f>IF(D13="","-",+C41+1)</f>
        <v>2036</v>
      </c>
      <c r="D42" s="508">
        <f>IF(F41+SUM(E$17:E41)=D$10,F41,D$10-SUM(E$17:E41))</f>
        <v>214029.91126563796</v>
      </c>
      <c r="E42" s="509">
        <f>IF(+I14&lt;F41,I14,D42)</f>
        <v>18628.878787878788</v>
      </c>
      <c r="F42" s="510">
        <f t="shared" si="11"/>
        <v>195401.03247775917</v>
      </c>
      <c r="G42" s="511">
        <f t="shared" si="12"/>
        <v>42121.775337758227</v>
      </c>
      <c r="H42" s="477">
        <f t="shared" si="13"/>
        <v>42121.775337758227</v>
      </c>
      <c r="I42" s="500">
        <f t="shared" si="7"/>
        <v>0</v>
      </c>
      <c r="J42" s="500"/>
      <c r="K42" s="512"/>
      <c r="L42" s="504">
        <f t="shared" si="2"/>
        <v>0</v>
      </c>
      <c r="M42" s="512"/>
      <c r="N42" s="504">
        <f t="shared" si="4"/>
        <v>0</v>
      </c>
      <c r="O42" s="504">
        <f t="shared" si="5"/>
        <v>0</v>
      </c>
      <c r="P42" s="278"/>
      <c r="R42" s="243"/>
      <c r="S42" s="243"/>
      <c r="T42" s="243"/>
      <c r="U42" s="243"/>
    </row>
    <row r="43" spans="2:21">
      <c r="B43" s="145" t="str">
        <f t="shared" si="0"/>
        <v/>
      </c>
      <c r="C43" s="495">
        <f>IF(D14="","-",+C42+1)</f>
        <v>2037</v>
      </c>
      <c r="D43" s="508">
        <f>IF(F42+SUM(E$17:E42)=D$10,F42,D$10-SUM(E$17:E42))</f>
        <v>195401.03247775917</v>
      </c>
      <c r="E43" s="509">
        <f>IF(+I14&lt;F42,I14,D43)</f>
        <v>18628.878787878788</v>
      </c>
      <c r="F43" s="510">
        <f t="shared" si="11"/>
        <v>176772.15368988039</v>
      </c>
      <c r="G43" s="511">
        <f t="shared" si="12"/>
        <v>39983.948048972903</v>
      </c>
      <c r="H43" s="477">
        <f t="shared" si="13"/>
        <v>39983.948048972903</v>
      </c>
      <c r="I43" s="500">
        <f t="shared" si="7"/>
        <v>0</v>
      </c>
      <c r="J43" s="500"/>
      <c r="K43" s="512"/>
      <c r="L43" s="504">
        <f t="shared" si="2"/>
        <v>0</v>
      </c>
      <c r="M43" s="512"/>
      <c r="N43" s="504">
        <f t="shared" si="4"/>
        <v>0</v>
      </c>
      <c r="O43" s="504">
        <f t="shared" si="5"/>
        <v>0</v>
      </c>
      <c r="P43" s="278"/>
      <c r="R43" s="243"/>
      <c r="S43" s="243"/>
      <c r="T43" s="243"/>
      <c r="U43" s="243"/>
    </row>
    <row r="44" spans="2:21">
      <c r="B44" s="145" t="str">
        <f t="shared" si="0"/>
        <v/>
      </c>
      <c r="C44" s="495">
        <f>IF(D11="","-",+C43+1)</f>
        <v>2038</v>
      </c>
      <c r="D44" s="508">
        <f>IF(F43+SUM(E$17:E43)=D$10,F43,D$10-SUM(E$17:E43))</f>
        <v>176772.15368988039</v>
      </c>
      <c r="E44" s="509">
        <f>IF(+I14&lt;F43,I14,D44)</f>
        <v>18628.878787878788</v>
      </c>
      <c r="F44" s="510">
        <f t="shared" si="11"/>
        <v>158143.27490200161</v>
      </c>
      <c r="G44" s="511">
        <f t="shared" si="12"/>
        <v>37846.120760187594</v>
      </c>
      <c r="H44" s="477">
        <f t="shared" si="13"/>
        <v>37846.120760187594</v>
      </c>
      <c r="I44" s="500">
        <f t="shared" si="7"/>
        <v>0</v>
      </c>
      <c r="J44" s="500"/>
      <c r="K44" s="512"/>
      <c r="L44" s="504">
        <f t="shared" si="2"/>
        <v>0</v>
      </c>
      <c r="M44" s="512"/>
      <c r="N44" s="504">
        <f t="shared" si="4"/>
        <v>0</v>
      </c>
      <c r="O44" s="504">
        <f t="shared" si="5"/>
        <v>0</v>
      </c>
      <c r="P44" s="278"/>
      <c r="R44" s="243"/>
      <c r="S44" s="243"/>
      <c r="T44" s="243"/>
      <c r="U44" s="243"/>
    </row>
    <row r="45" spans="2:21">
      <c r="B45" s="145" t="str">
        <f t="shared" si="0"/>
        <v/>
      </c>
      <c r="C45" s="495">
        <f>IF(D11="","-",+C44+1)</f>
        <v>2039</v>
      </c>
      <c r="D45" s="508">
        <f>IF(F44+SUM(E$17:E44)=D$10,F44,D$10-SUM(E$17:E44))</f>
        <v>158143.27490200161</v>
      </c>
      <c r="E45" s="509">
        <f>IF(+I14&lt;F44,I14,D45)</f>
        <v>18628.878787878788</v>
      </c>
      <c r="F45" s="510">
        <f t="shared" si="11"/>
        <v>139514.39611412282</v>
      </c>
      <c r="G45" s="511">
        <f t="shared" si="12"/>
        <v>35708.293471402278</v>
      </c>
      <c r="H45" s="477">
        <f t="shared" si="13"/>
        <v>35708.293471402278</v>
      </c>
      <c r="I45" s="500">
        <f t="shared" si="7"/>
        <v>0</v>
      </c>
      <c r="J45" s="500"/>
      <c r="K45" s="512"/>
      <c r="L45" s="504">
        <f t="shared" si="2"/>
        <v>0</v>
      </c>
      <c r="M45" s="512"/>
      <c r="N45" s="504">
        <f t="shared" si="4"/>
        <v>0</v>
      </c>
      <c r="O45" s="504">
        <f t="shared" si="5"/>
        <v>0</v>
      </c>
      <c r="P45" s="278"/>
      <c r="R45" s="243"/>
      <c r="S45" s="243"/>
      <c r="T45" s="243"/>
      <c r="U45" s="243"/>
    </row>
    <row r="46" spans="2:21">
      <c r="B46" s="145" t="str">
        <f t="shared" si="0"/>
        <v/>
      </c>
      <c r="C46" s="495">
        <f>IF(D11="","-",+C45+1)</f>
        <v>2040</v>
      </c>
      <c r="D46" s="508">
        <f>IF(F45+SUM(E$17:E45)=D$10,F45,D$10-SUM(E$17:E45))</f>
        <v>139514.39611412282</v>
      </c>
      <c r="E46" s="509">
        <f>IF(+I14&lt;F45,I14,D46)</f>
        <v>18628.878787878788</v>
      </c>
      <c r="F46" s="510">
        <f t="shared" si="11"/>
        <v>120885.51732624404</v>
      </c>
      <c r="G46" s="511">
        <f t="shared" si="12"/>
        <v>33570.466182616961</v>
      </c>
      <c r="H46" s="477">
        <f t="shared" si="13"/>
        <v>33570.466182616961</v>
      </c>
      <c r="I46" s="500">
        <f t="shared" si="7"/>
        <v>0</v>
      </c>
      <c r="J46" s="500"/>
      <c r="K46" s="512"/>
      <c r="L46" s="504">
        <f t="shared" si="2"/>
        <v>0</v>
      </c>
      <c r="M46" s="512"/>
      <c r="N46" s="504">
        <f t="shared" si="4"/>
        <v>0</v>
      </c>
      <c r="O46" s="504">
        <f t="shared" si="5"/>
        <v>0</v>
      </c>
      <c r="P46" s="278"/>
      <c r="R46" s="243"/>
      <c r="S46" s="243"/>
      <c r="T46" s="243"/>
      <c r="U46" s="243"/>
    </row>
    <row r="47" spans="2:21">
      <c r="B47" s="145" t="str">
        <f t="shared" si="0"/>
        <v/>
      </c>
      <c r="C47" s="495">
        <f>IF(D11="","-",+C46+1)</f>
        <v>2041</v>
      </c>
      <c r="D47" s="508">
        <f>IF(F46+SUM(E$17:E46)=D$10,F46,D$10-SUM(E$17:E46))</f>
        <v>120885.51732624404</v>
      </c>
      <c r="E47" s="509">
        <f>IF(+I14&lt;F46,I14,D47)</f>
        <v>18628.878787878788</v>
      </c>
      <c r="F47" s="510">
        <f t="shared" si="11"/>
        <v>102256.63853836525</v>
      </c>
      <c r="G47" s="511">
        <f t="shared" si="12"/>
        <v>31432.638893831649</v>
      </c>
      <c r="H47" s="477">
        <f t="shared" si="13"/>
        <v>31432.638893831649</v>
      </c>
      <c r="I47" s="500">
        <f t="shared" si="7"/>
        <v>0</v>
      </c>
      <c r="J47" s="500"/>
      <c r="K47" s="512"/>
      <c r="L47" s="504">
        <f t="shared" si="2"/>
        <v>0</v>
      </c>
      <c r="M47" s="512"/>
      <c r="N47" s="504">
        <f t="shared" si="4"/>
        <v>0</v>
      </c>
      <c r="O47" s="504">
        <f t="shared" si="5"/>
        <v>0</v>
      </c>
      <c r="P47" s="278"/>
      <c r="R47" s="243"/>
      <c r="S47" s="243"/>
      <c r="T47" s="243"/>
      <c r="U47" s="243"/>
    </row>
    <row r="48" spans="2:21">
      <c r="B48" s="145" t="str">
        <f t="shared" si="0"/>
        <v/>
      </c>
      <c r="C48" s="495">
        <f>IF(D11="","-",+C47+1)</f>
        <v>2042</v>
      </c>
      <c r="D48" s="508">
        <f>IF(F47+SUM(E$17:E47)=D$10,F47,D$10-SUM(E$17:E47))</f>
        <v>102256.63853836525</v>
      </c>
      <c r="E48" s="509">
        <f>IF(+I14&lt;F47,I14,D48)</f>
        <v>18628.878787878788</v>
      </c>
      <c r="F48" s="510">
        <f t="shared" si="11"/>
        <v>83627.759750486468</v>
      </c>
      <c r="G48" s="511">
        <f t="shared" si="12"/>
        <v>29294.811605046336</v>
      </c>
      <c r="H48" s="477">
        <f t="shared" si="13"/>
        <v>29294.811605046336</v>
      </c>
      <c r="I48" s="500">
        <f t="shared" si="7"/>
        <v>0</v>
      </c>
      <c r="J48" s="500"/>
      <c r="K48" s="512"/>
      <c r="L48" s="504">
        <f t="shared" si="2"/>
        <v>0</v>
      </c>
      <c r="M48" s="512"/>
      <c r="N48" s="504">
        <f t="shared" si="4"/>
        <v>0</v>
      </c>
      <c r="O48" s="504">
        <f t="shared" si="5"/>
        <v>0</v>
      </c>
      <c r="P48" s="278"/>
      <c r="R48" s="243"/>
      <c r="S48" s="243"/>
      <c r="T48" s="243"/>
      <c r="U48" s="243"/>
    </row>
    <row r="49" spans="2:21">
      <c r="B49" s="145" t="str">
        <f t="shared" si="0"/>
        <v/>
      </c>
      <c r="C49" s="495">
        <f>IF(D11="","-",+C48+1)</f>
        <v>2043</v>
      </c>
      <c r="D49" s="508">
        <f>IF(F48+SUM(E$17:E48)=D$10,F48,D$10-SUM(E$17:E48))</f>
        <v>83627.759750486468</v>
      </c>
      <c r="E49" s="509">
        <f>IF(+I14&lt;F48,I14,D49)</f>
        <v>18628.878787878788</v>
      </c>
      <c r="F49" s="510">
        <f t="shared" si="11"/>
        <v>64998.880962607684</v>
      </c>
      <c r="G49" s="511">
        <f t="shared" si="12"/>
        <v>27156.98431626102</v>
      </c>
      <c r="H49" s="477">
        <f t="shared" si="13"/>
        <v>27156.98431626102</v>
      </c>
      <c r="I49" s="500">
        <f t="shared" si="7"/>
        <v>0</v>
      </c>
      <c r="J49" s="500"/>
      <c r="K49" s="512"/>
      <c r="L49" s="504">
        <f t="shared" si="2"/>
        <v>0</v>
      </c>
      <c r="M49" s="512"/>
      <c r="N49" s="504">
        <f t="shared" si="4"/>
        <v>0</v>
      </c>
      <c r="O49" s="504">
        <f t="shared" si="5"/>
        <v>0</v>
      </c>
      <c r="P49" s="278"/>
      <c r="R49" s="243"/>
      <c r="S49" s="243"/>
      <c r="T49" s="243"/>
      <c r="U49" s="243"/>
    </row>
    <row r="50" spans="2:21">
      <c r="B50" s="145" t="str">
        <f t="shared" ref="B50:B73" si="14">IF(D50=F49,"","IU")</f>
        <v/>
      </c>
      <c r="C50" s="495">
        <f>IF(D11="","-",+C49+1)</f>
        <v>2044</v>
      </c>
      <c r="D50" s="508">
        <f>IF(F49+SUM(E$17:E49)=D$10,F49,D$10-SUM(E$17:E49))</f>
        <v>64998.880962607684</v>
      </c>
      <c r="E50" s="509">
        <f>IF(+I14&lt;F49,I14,D50)</f>
        <v>18628.878787878788</v>
      </c>
      <c r="F50" s="510">
        <f t="shared" si="11"/>
        <v>46370.002174728899</v>
      </c>
      <c r="G50" s="511">
        <f t="shared" si="12"/>
        <v>25019.157027475707</v>
      </c>
      <c r="H50" s="477">
        <f t="shared" si="13"/>
        <v>25019.157027475707</v>
      </c>
      <c r="I50" s="500">
        <f t="shared" ref="I50:I73" si="15">H50-G50</f>
        <v>0</v>
      </c>
      <c r="J50" s="500"/>
      <c r="K50" s="512"/>
      <c r="L50" s="504">
        <f t="shared" ref="L50:L73" si="16">IF(K50&lt;&gt;0,+G50-K50,0)</f>
        <v>0</v>
      </c>
      <c r="M50" s="512"/>
      <c r="N50" s="504">
        <f t="shared" ref="N50:N73" si="17">IF(M50&lt;&gt;0,+H50-M50,0)</f>
        <v>0</v>
      </c>
      <c r="O50" s="504">
        <f t="shared" ref="O50:O73" si="18">+N50-L50</f>
        <v>0</v>
      </c>
      <c r="P50" s="278"/>
      <c r="R50" s="243"/>
      <c r="S50" s="243"/>
      <c r="T50" s="243"/>
      <c r="U50" s="243"/>
    </row>
    <row r="51" spans="2:21">
      <c r="B51" s="145" t="str">
        <f t="shared" si="14"/>
        <v/>
      </c>
      <c r="C51" s="495">
        <f>IF(D11="","-",+C50+1)</f>
        <v>2045</v>
      </c>
      <c r="D51" s="508">
        <f>IF(F50+SUM(E$17:E50)=D$10,F50,D$10-SUM(E$17:E50))</f>
        <v>46370.002174728899</v>
      </c>
      <c r="E51" s="509">
        <f>IF(+I14&lt;F50,I14,D51)</f>
        <v>18628.878787878788</v>
      </c>
      <c r="F51" s="510">
        <f t="shared" ref="F51:F73" si="19">+D51-E51</f>
        <v>27741.123386850111</v>
      </c>
      <c r="G51" s="511">
        <f t="shared" si="12"/>
        <v>22881.329738690391</v>
      </c>
      <c r="H51" s="477">
        <f t="shared" si="13"/>
        <v>22881.329738690391</v>
      </c>
      <c r="I51" s="500">
        <f t="shared" si="15"/>
        <v>0</v>
      </c>
      <c r="J51" s="500"/>
      <c r="K51" s="512"/>
      <c r="L51" s="504">
        <f t="shared" si="16"/>
        <v>0</v>
      </c>
      <c r="M51" s="512"/>
      <c r="N51" s="504">
        <f t="shared" si="17"/>
        <v>0</v>
      </c>
      <c r="O51" s="504">
        <f t="shared" si="18"/>
        <v>0</v>
      </c>
      <c r="P51" s="278"/>
      <c r="R51" s="243"/>
      <c r="S51" s="243"/>
      <c r="T51" s="243"/>
      <c r="U51" s="243"/>
    </row>
    <row r="52" spans="2:21">
      <c r="B52" s="145" t="str">
        <f t="shared" si="14"/>
        <v/>
      </c>
      <c r="C52" s="495">
        <f>IF(D11="","-",+C51+1)</f>
        <v>2046</v>
      </c>
      <c r="D52" s="508">
        <f>IF(F51+SUM(E$17:E51)=D$10,F51,D$10-SUM(E$17:E51))</f>
        <v>27741.123386850111</v>
      </c>
      <c r="E52" s="509">
        <f>IF(+I14&lt;F51,I14,D52)</f>
        <v>18628.878787878788</v>
      </c>
      <c r="F52" s="510">
        <f t="shared" si="19"/>
        <v>9112.2445989713233</v>
      </c>
      <c r="G52" s="511">
        <f t="shared" si="12"/>
        <v>20743.502449905078</v>
      </c>
      <c r="H52" s="477">
        <f t="shared" si="13"/>
        <v>20743.502449905078</v>
      </c>
      <c r="I52" s="500">
        <f t="shared" si="15"/>
        <v>0</v>
      </c>
      <c r="J52" s="500"/>
      <c r="K52" s="512"/>
      <c r="L52" s="504">
        <f t="shared" si="16"/>
        <v>0</v>
      </c>
      <c r="M52" s="512"/>
      <c r="N52" s="504">
        <f t="shared" si="17"/>
        <v>0</v>
      </c>
      <c r="O52" s="504">
        <f t="shared" si="18"/>
        <v>0</v>
      </c>
      <c r="P52" s="278"/>
      <c r="R52" s="243"/>
      <c r="S52" s="243"/>
      <c r="T52" s="243"/>
      <c r="U52" s="243"/>
    </row>
    <row r="53" spans="2:21">
      <c r="B53" s="145" t="str">
        <f t="shared" si="14"/>
        <v/>
      </c>
      <c r="C53" s="495">
        <f>IF(D11="","-",+C52+1)</f>
        <v>2047</v>
      </c>
      <c r="D53" s="508">
        <f>IF(F52+SUM(E$17:E52)=D$10,F52,D$10-SUM(E$17:E52))</f>
        <v>9112.2445989713233</v>
      </c>
      <c r="E53" s="509">
        <f>IF(+I14&lt;F52,I14,D53)</f>
        <v>9112.2445989713233</v>
      </c>
      <c r="F53" s="510">
        <f t="shared" si="19"/>
        <v>0</v>
      </c>
      <c r="G53" s="511">
        <f t="shared" si="12"/>
        <v>9635.0996077881391</v>
      </c>
      <c r="H53" s="477">
        <f t="shared" si="13"/>
        <v>9635.0996077881391</v>
      </c>
      <c r="I53" s="500">
        <f t="shared" si="15"/>
        <v>0</v>
      </c>
      <c r="J53" s="500"/>
      <c r="K53" s="512"/>
      <c r="L53" s="504">
        <f t="shared" si="16"/>
        <v>0</v>
      </c>
      <c r="M53" s="512"/>
      <c r="N53" s="504">
        <f t="shared" si="17"/>
        <v>0</v>
      </c>
      <c r="O53" s="504">
        <f t="shared" si="18"/>
        <v>0</v>
      </c>
      <c r="P53" s="278"/>
      <c r="R53" s="243"/>
      <c r="S53" s="243"/>
      <c r="T53" s="243"/>
      <c r="U53" s="243"/>
    </row>
    <row r="54" spans="2:21">
      <c r="B54" s="145" t="str">
        <f t="shared" si="14"/>
        <v/>
      </c>
      <c r="C54" s="495">
        <f>IF(D11="","-",+C53+1)</f>
        <v>2048</v>
      </c>
      <c r="D54" s="508">
        <f>IF(F53+SUM(E$17:E53)=D$10,F53,D$10-SUM(E$17:E53))</f>
        <v>0</v>
      </c>
      <c r="E54" s="509">
        <f>IF(+I14&lt;F53,I14,D54)</f>
        <v>0</v>
      </c>
      <c r="F54" s="510">
        <f t="shared" si="19"/>
        <v>0</v>
      </c>
      <c r="G54" s="511">
        <f t="shared" si="12"/>
        <v>0</v>
      </c>
      <c r="H54" s="477">
        <f t="shared" si="13"/>
        <v>0</v>
      </c>
      <c r="I54" s="500">
        <f t="shared" si="15"/>
        <v>0</v>
      </c>
      <c r="J54" s="500"/>
      <c r="K54" s="512"/>
      <c r="L54" s="504">
        <f t="shared" si="16"/>
        <v>0</v>
      </c>
      <c r="M54" s="512"/>
      <c r="N54" s="504">
        <f t="shared" si="17"/>
        <v>0</v>
      </c>
      <c r="O54" s="504">
        <f t="shared" si="18"/>
        <v>0</v>
      </c>
      <c r="P54" s="278"/>
      <c r="R54" s="243"/>
      <c r="S54" s="243"/>
      <c r="T54" s="243"/>
      <c r="U54" s="243"/>
    </row>
    <row r="55" spans="2:21">
      <c r="B55" s="145" t="str">
        <f t="shared" si="14"/>
        <v/>
      </c>
      <c r="C55" s="495">
        <f>IF(D11="","-",+C54+1)</f>
        <v>2049</v>
      </c>
      <c r="D55" s="508">
        <f>IF(F54+SUM(E$17:E54)=D$10,F54,D$10-SUM(E$17:E54))</f>
        <v>0</v>
      </c>
      <c r="E55" s="509">
        <f>IF(+I14&lt;F54,I14,D55)</f>
        <v>0</v>
      </c>
      <c r="F55" s="510">
        <f t="shared" si="19"/>
        <v>0</v>
      </c>
      <c r="G55" s="511">
        <f t="shared" si="12"/>
        <v>0</v>
      </c>
      <c r="H55" s="477">
        <f t="shared" si="13"/>
        <v>0</v>
      </c>
      <c r="I55" s="500">
        <f t="shared" si="15"/>
        <v>0</v>
      </c>
      <c r="J55" s="500"/>
      <c r="K55" s="512"/>
      <c r="L55" s="504">
        <f t="shared" si="16"/>
        <v>0</v>
      </c>
      <c r="M55" s="512"/>
      <c r="N55" s="504">
        <f t="shared" si="17"/>
        <v>0</v>
      </c>
      <c r="O55" s="504">
        <f t="shared" si="18"/>
        <v>0</v>
      </c>
      <c r="P55" s="278"/>
      <c r="R55" s="243"/>
      <c r="S55" s="243"/>
      <c r="T55" s="243"/>
      <c r="U55" s="243"/>
    </row>
    <row r="56" spans="2:21">
      <c r="B56" s="145" t="str">
        <f t="shared" si="14"/>
        <v/>
      </c>
      <c r="C56" s="495">
        <f>IF(D11="","-",+C55+1)</f>
        <v>2050</v>
      </c>
      <c r="D56" s="508">
        <f>IF(F55+SUM(E$17:E55)=D$10,F55,D$10-SUM(E$17:E55))</f>
        <v>0</v>
      </c>
      <c r="E56" s="509">
        <f>IF(+I14&lt;F55,I14,D56)</f>
        <v>0</v>
      </c>
      <c r="F56" s="510">
        <f t="shared" si="19"/>
        <v>0</v>
      </c>
      <c r="G56" s="511">
        <f t="shared" si="12"/>
        <v>0</v>
      </c>
      <c r="H56" s="477">
        <f t="shared" si="13"/>
        <v>0</v>
      </c>
      <c r="I56" s="500">
        <f t="shared" si="15"/>
        <v>0</v>
      </c>
      <c r="J56" s="500"/>
      <c r="K56" s="512"/>
      <c r="L56" s="504">
        <f t="shared" si="16"/>
        <v>0</v>
      </c>
      <c r="M56" s="512"/>
      <c r="N56" s="504">
        <f t="shared" si="17"/>
        <v>0</v>
      </c>
      <c r="O56" s="504">
        <f t="shared" si="18"/>
        <v>0</v>
      </c>
      <c r="P56" s="278"/>
      <c r="R56" s="243"/>
      <c r="S56" s="243"/>
      <c r="T56" s="243"/>
      <c r="U56" s="243"/>
    </row>
    <row r="57" spans="2:21">
      <c r="B57" s="145" t="str">
        <f t="shared" si="14"/>
        <v/>
      </c>
      <c r="C57" s="495">
        <f>IF(D11="","-",+C56+1)</f>
        <v>2051</v>
      </c>
      <c r="D57" s="508">
        <f>IF(F56+SUM(E$17:E56)=D$10,F56,D$10-SUM(E$17:E56))</f>
        <v>0</v>
      </c>
      <c r="E57" s="509">
        <f>IF(+I14&lt;F56,I14,D57)</f>
        <v>0</v>
      </c>
      <c r="F57" s="510">
        <f t="shared" si="19"/>
        <v>0</v>
      </c>
      <c r="G57" s="511">
        <f t="shared" si="12"/>
        <v>0</v>
      </c>
      <c r="H57" s="477">
        <f t="shared" si="13"/>
        <v>0</v>
      </c>
      <c r="I57" s="500">
        <f t="shared" si="15"/>
        <v>0</v>
      </c>
      <c r="J57" s="500"/>
      <c r="K57" s="512"/>
      <c r="L57" s="504">
        <f t="shared" si="16"/>
        <v>0</v>
      </c>
      <c r="M57" s="512"/>
      <c r="N57" s="504">
        <f t="shared" si="17"/>
        <v>0</v>
      </c>
      <c r="O57" s="504">
        <f t="shared" si="18"/>
        <v>0</v>
      </c>
      <c r="P57" s="278"/>
      <c r="R57" s="243"/>
      <c r="S57" s="243"/>
      <c r="T57" s="243"/>
      <c r="U57" s="243"/>
    </row>
    <row r="58" spans="2:21">
      <c r="B58" s="145" t="str">
        <f t="shared" si="14"/>
        <v/>
      </c>
      <c r="C58" s="495">
        <f>IF(D11="","-",+C57+1)</f>
        <v>2052</v>
      </c>
      <c r="D58" s="508">
        <f>IF(F57+SUM(E$17:E57)=D$10,F57,D$10-SUM(E$17:E57))</f>
        <v>0</v>
      </c>
      <c r="E58" s="509">
        <f>IF(+I14&lt;F57,I14,D58)</f>
        <v>0</v>
      </c>
      <c r="F58" s="510">
        <f t="shared" si="19"/>
        <v>0</v>
      </c>
      <c r="G58" s="511">
        <f t="shared" si="12"/>
        <v>0</v>
      </c>
      <c r="H58" s="477">
        <f t="shared" si="13"/>
        <v>0</v>
      </c>
      <c r="I58" s="500">
        <f t="shared" si="15"/>
        <v>0</v>
      </c>
      <c r="J58" s="500"/>
      <c r="K58" s="512"/>
      <c r="L58" s="504">
        <f t="shared" si="16"/>
        <v>0</v>
      </c>
      <c r="M58" s="512"/>
      <c r="N58" s="504">
        <f t="shared" si="17"/>
        <v>0</v>
      </c>
      <c r="O58" s="504">
        <f t="shared" si="18"/>
        <v>0</v>
      </c>
      <c r="P58" s="278"/>
      <c r="R58" s="243"/>
      <c r="S58" s="243"/>
      <c r="T58" s="243"/>
      <c r="U58" s="243"/>
    </row>
    <row r="59" spans="2:21">
      <c r="B59" s="145" t="str">
        <f t="shared" si="14"/>
        <v/>
      </c>
      <c r="C59" s="495">
        <f>IF(D11="","-",+C58+1)</f>
        <v>2053</v>
      </c>
      <c r="D59" s="508">
        <f>IF(F58+SUM(E$17:E58)=D$10,F58,D$10-SUM(E$17:E58))</f>
        <v>0</v>
      </c>
      <c r="E59" s="509">
        <f>IF(+I14&lt;F58,I14,D59)</f>
        <v>0</v>
      </c>
      <c r="F59" s="510">
        <f t="shared" si="19"/>
        <v>0</v>
      </c>
      <c r="G59" s="511">
        <f t="shared" si="12"/>
        <v>0</v>
      </c>
      <c r="H59" s="477">
        <f t="shared" si="13"/>
        <v>0</v>
      </c>
      <c r="I59" s="500">
        <f t="shared" si="15"/>
        <v>0</v>
      </c>
      <c r="J59" s="500"/>
      <c r="K59" s="512"/>
      <c r="L59" s="504">
        <f t="shared" si="16"/>
        <v>0</v>
      </c>
      <c r="M59" s="512"/>
      <c r="N59" s="504">
        <f t="shared" si="17"/>
        <v>0</v>
      </c>
      <c r="O59" s="504">
        <f t="shared" si="18"/>
        <v>0</v>
      </c>
      <c r="P59" s="278"/>
      <c r="R59" s="243"/>
      <c r="S59" s="243"/>
      <c r="T59" s="243"/>
      <c r="U59" s="243"/>
    </row>
    <row r="60" spans="2:21">
      <c r="B60" s="145" t="str">
        <f t="shared" si="14"/>
        <v/>
      </c>
      <c r="C60" s="495">
        <f>IF(D11="","-",+C59+1)</f>
        <v>2054</v>
      </c>
      <c r="D60" s="508">
        <f>IF(F59+SUM(E$17:E59)=D$10,F59,D$10-SUM(E$17:E59))</f>
        <v>0</v>
      </c>
      <c r="E60" s="509">
        <f>IF(+I14&lt;F59,I14,D60)</f>
        <v>0</v>
      </c>
      <c r="F60" s="510">
        <f t="shared" si="19"/>
        <v>0</v>
      </c>
      <c r="G60" s="511">
        <f t="shared" si="12"/>
        <v>0</v>
      </c>
      <c r="H60" s="477">
        <f t="shared" si="13"/>
        <v>0</v>
      </c>
      <c r="I60" s="500">
        <f t="shared" si="15"/>
        <v>0</v>
      </c>
      <c r="J60" s="500"/>
      <c r="K60" s="512"/>
      <c r="L60" s="504">
        <f t="shared" si="16"/>
        <v>0</v>
      </c>
      <c r="M60" s="512"/>
      <c r="N60" s="504">
        <f t="shared" si="17"/>
        <v>0</v>
      </c>
      <c r="O60" s="504">
        <f t="shared" si="18"/>
        <v>0</v>
      </c>
      <c r="P60" s="278"/>
      <c r="R60" s="243"/>
      <c r="S60" s="243"/>
      <c r="T60" s="243"/>
      <c r="U60" s="243"/>
    </row>
    <row r="61" spans="2:21">
      <c r="B61" s="145" t="str">
        <f t="shared" si="14"/>
        <v/>
      </c>
      <c r="C61" s="495">
        <f>IF(D11="","-",+C60+1)</f>
        <v>2055</v>
      </c>
      <c r="D61" s="508">
        <f>IF(F60+SUM(E$17:E60)=D$10,F60,D$10-SUM(E$17:E60))</f>
        <v>0</v>
      </c>
      <c r="E61" s="509">
        <f>IF(+I14&lt;F60,I14,D61)</f>
        <v>0</v>
      </c>
      <c r="F61" s="510">
        <f t="shared" si="19"/>
        <v>0</v>
      </c>
      <c r="G61" s="511">
        <f t="shared" si="12"/>
        <v>0</v>
      </c>
      <c r="H61" s="477">
        <f t="shared" si="13"/>
        <v>0</v>
      </c>
      <c r="I61" s="500">
        <f t="shared" si="15"/>
        <v>0</v>
      </c>
      <c r="J61" s="500"/>
      <c r="K61" s="512"/>
      <c r="L61" s="504">
        <f t="shared" si="16"/>
        <v>0</v>
      </c>
      <c r="M61" s="512"/>
      <c r="N61" s="504">
        <f t="shared" si="17"/>
        <v>0</v>
      </c>
      <c r="O61" s="504">
        <f t="shared" si="18"/>
        <v>0</v>
      </c>
      <c r="P61" s="278"/>
      <c r="R61" s="243"/>
      <c r="S61" s="243"/>
      <c r="T61" s="243"/>
      <c r="U61" s="243"/>
    </row>
    <row r="62" spans="2:21">
      <c r="B62" s="145" t="str">
        <f t="shared" si="14"/>
        <v/>
      </c>
      <c r="C62" s="495">
        <f>IF(D11="","-",+C61+1)</f>
        <v>2056</v>
      </c>
      <c r="D62" s="508">
        <f>IF(F61+SUM(E$17:E61)=D$10,F61,D$10-SUM(E$17:E61))</f>
        <v>0</v>
      </c>
      <c r="E62" s="509">
        <f>IF(+I14&lt;F61,I14,D62)</f>
        <v>0</v>
      </c>
      <c r="F62" s="510">
        <f t="shared" si="19"/>
        <v>0</v>
      </c>
      <c r="G62" s="523">
        <f t="shared" si="12"/>
        <v>0</v>
      </c>
      <c r="H62" s="477">
        <f t="shared" si="13"/>
        <v>0</v>
      </c>
      <c r="I62" s="500">
        <f t="shared" si="15"/>
        <v>0</v>
      </c>
      <c r="J62" s="500"/>
      <c r="K62" s="512"/>
      <c r="L62" s="504">
        <f t="shared" si="16"/>
        <v>0</v>
      </c>
      <c r="M62" s="512"/>
      <c r="N62" s="504">
        <f t="shared" si="17"/>
        <v>0</v>
      </c>
      <c r="O62" s="504">
        <f t="shared" si="18"/>
        <v>0</v>
      </c>
      <c r="P62" s="278"/>
      <c r="R62" s="243"/>
      <c r="S62" s="243"/>
      <c r="T62" s="243"/>
      <c r="U62" s="243"/>
    </row>
    <row r="63" spans="2:21">
      <c r="B63" s="145" t="str">
        <f t="shared" si="14"/>
        <v/>
      </c>
      <c r="C63" s="495">
        <f>IF(D11="","-",+C62+1)</f>
        <v>2057</v>
      </c>
      <c r="D63" s="508">
        <f>IF(F62+SUM(E$17:E62)=D$10,F62,D$10-SUM(E$17:E62))</f>
        <v>0</v>
      </c>
      <c r="E63" s="509">
        <f>IF(+I14&lt;F62,I14,D63)</f>
        <v>0</v>
      </c>
      <c r="F63" s="510">
        <f t="shared" si="19"/>
        <v>0</v>
      </c>
      <c r="G63" s="523">
        <f t="shared" si="12"/>
        <v>0</v>
      </c>
      <c r="H63" s="477">
        <f t="shared" si="13"/>
        <v>0</v>
      </c>
      <c r="I63" s="500">
        <f t="shared" si="15"/>
        <v>0</v>
      </c>
      <c r="J63" s="500"/>
      <c r="K63" s="512"/>
      <c r="L63" s="504">
        <f t="shared" si="16"/>
        <v>0</v>
      </c>
      <c r="M63" s="512"/>
      <c r="N63" s="504">
        <f t="shared" si="17"/>
        <v>0</v>
      </c>
      <c r="O63" s="504">
        <f t="shared" si="18"/>
        <v>0</v>
      </c>
      <c r="P63" s="278"/>
      <c r="R63" s="243"/>
      <c r="S63" s="243"/>
      <c r="T63" s="243"/>
      <c r="U63" s="243"/>
    </row>
    <row r="64" spans="2:21">
      <c r="B64" s="145" t="str">
        <f t="shared" si="14"/>
        <v/>
      </c>
      <c r="C64" s="495">
        <f>IF(D11="","-",+C63+1)</f>
        <v>2058</v>
      </c>
      <c r="D64" s="508">
        <f>IF(F63+SUM(E$17:E63)=D$10,F63,D$10-SUM(E$17:E63))</f>
        <v>0</v>
      </c>
      <c r="E64" s="509">
        <f>IF(+I14&lt;F63,I14,D64)</f>
        <v>0</v>
      </c>
      <c r="F64" s="510">
        <f t="shared" si="19"/>
        <v>0</v>
      </c>
      <c r="G64" s="523">
        <f t="shared" si="12"/>
        <v>0</v>
      </c>
      <c r="H64" s="477">
        <f t="shared" si="13"/>
        <v>0</v>
      </c>
      <c r="I64" s="500">
        <f t="shared" si="15"/>
        <v>0</v>
      </c>
      <c r="J64" s="500"/>
      <c r="K64" s="512"/>
      <c r="L64" s="504">
        <f t="shared" si="16"/>
        <v>0</v>
      </c>
      <c r="M64" s="512"/>
      <c r="N64" s="504">
        <f t="shared" si="17"/>
        <v>0</v>
      </c>
      <c r="O64" s="504">
        <f t="shared" si="18"/>
        <v>0</v>
      </c>
      <c r="P64" s="278"/>
      <c r="R64" s="243"/>
      <c r="S64" s="243"/>
      <c r="T64" s="243"/>
      <c r="U64" s="243"/>
    </row>
    <row r="65" spans="2:21">
      <c r="B65" s="145" t="str">
        <f t="shared" si="14"/>
        <v/>
      </c>
      <c r="C65" s="495">
        <f>IF(D11="","-",+C64+1)</f>
        <v>2059</v>
      </c>
      <c r="D65" s="508">
        <f>IF(F64+SUM(E$17:E64)=D$10,F64,D$10-SUM(E$17:E64))</f>
        <v>0</v>
      </c>
      <c r="E65" s="509">
        <f>IF(+I14&lt;F64,I14,D65)</f>
        <v>0</v>
      </c>
      <c r="F65" s="510">
        <f t="shared" si="19"/>
        <v>0</v>
      </c>
      <c r="G65" s="523">
        <f t="shared" si="12"/>
        <v>0</v>
      </c>
      <c r="H65" s="477">
        <f t="shared" si="13"/>
        <v>0</v>
      </c>
      <c r="I65" s="500">
        <f t="shared" si="15"/>
        <v>0</v>
      </c>
      <c r="J65" s="500"/>
      <c r="K65" s="512"/>
      <c r="L65" s="504">
        <f t="shared" si="16"/>
        <v>0</v>
      </c>
      <c r="M65" s="512"/>
      <c r="N65" s="504">
        <f t="shared" si="17"/>
        <v>0</v>
      </c>
      <c r="O65" s="504">
        <f t="shared" si="18"/>
        <v>0</v>
      </c>
      <c r="P65" s="278"/>
      <c r="R65" s="243"/>
      <c r="S65" s="243"/>
      <c r="T65" s="243"/>
      <c r="U65" s="243"/>
    </row>
    <row r="66" spans="2:21">
      <c r="B66" s="145" t="str">
        <f t="shared" si="14"/>
        <v/>
      </c>
      <c r="C66" s="495">
        <f>IF(D11="","-",+C65+1)</f>
        <v>2060</v>
      </c>
      <c r="D66" s="508">
        <f>IF(F65+SUM(E$17:E65)=D$10,F65,D$10-SUM(E$17:E65))</f>
        <v>0</v>
      </c>
      <c r="E66" s="509">
        <f>IF(+I14&lt;F65,I14,D66)</f>
        <v>0</v>
      </c>
      <c r="F66" s="510">
        <f t="shared" si="19"/>
        <v>0</v>
      </c>
      <c r="G66" s="523">
        <f t="shared" si="12"/>
        <v>0</v>
      </c>
      <c r="H66" s="477">
        <f t="shared" si="13"/>
        <v>0</v>
      </c>
      <c r="I66" s="500">
        <f t="shared" si="15"/>
        <v>0</v>
      </c>
      <c r="J66" s="500"/>
      <c r="K66" s="512"/>
      <c r="L66" s="504">
        <f t="shared" si="16"/>
        <v>0</v>
      </c>
      <c r="M66" s="512"/>
      <c r="N66" s="504">
        <f t="shared" si="17"/>
        <v>0</v>
      </c>
      <c r="O66" s="504">
        <f t="shared" si="18"/>
        <v>0</v>
      </c>
      <c r="P66" s="278"/>
      <c r="R66" s="243"/>
      <c r="S66" s="243"/>
      <c r="T66" s="243"/>
      <c r="U66" s="243"/>
    </row>
    <row r="67" spans="2:21">
      <c r="B67" s="145" t="str">
        <f t="shared" si="14"/>
        <v/>
      </c>
      <c r="C67" s="495">
        <f>IF(D11="","-",+C66+1)</f>
        <v>2061</v>
      </c>
      <c r="D67" s="508">
        <f>IF(F66+SUM(E$17:E66)=D$10,F66,D$10-SUM(E$17:E66))</f>
        <v>0</v>
      </c>
      <c r="E67" s="509">
        <f>IF(+I14&lt;F66,I14,D67)</f>
        <v>0</v>
      </c>
      <c r="F67" s="510">
        <f t="shared" si="19"/>
        <v>0</v>
      </c>
      <c r="G67" s="523">
        <f t="shared" si="12"/>
        <v>0</v>
      </c>
      <c r="H67" s="477">
        <f t="shared" si="13"/>
        <v>0</v>
      </c>
      <c r="I67" s="500">
        <f t="shared" si="15"/>
        <v>0</v>
      </c>
      <c r="J67" s="500"/>
      <c r="K67" s="512"/>
      <c r="L67" s="504">
        <f t="shared" si="16"/>
        <v>0</v>
      </c>
      <c r="M67" s="512"/>
      <c r="N67" s="504">
        <f t="shared" si="17"/>
        <v>0</v>
      </c>
      <c r="O67" s="504">
        <f t="shared" si="18"/>
        <v>0</v>
      </c>
      <c r="P67" s="278"/>
      <c r="R67" s="243"/>
      <c r="S67" s="243"/>
      <c r="T67" s="243"/>
      <c r="U67" s="243"/>
    </row>
    <row r="68" spans="2:21">
      <c r="B68" s="145" t="str">
        <f t="shared" si="14"/>
        <v/>
      </c>
      <c r="C68" s="495">
        <f>IF(D11="","-",+C67+1)</f>
        <v>2062</v>
      </c>
      <c r="D68" s="508">
        <f>IF(F67+SUM(E$17:E67)=D$10,F67,D$10-SUM(E$17:E67))</f>
        <v>0</v>
      </c>
      <c r="E68" s="509">
        <f>IF(+I14&lt;F67,I14,D68)</f>
        <v>0</v>
      </c>
      <c r="F68" s="510">
        <f t="shared" si="19"/>
        <v>0</v>
      </c>
      <c r="G68" s="523">
        <f t="shared" si="12"/>
        <v>0</v>
      </c>
      <c r="H68" s="477">
        <f t="shared" si="13"/>
        <v>0</v>
      </c>
      <c r="I68" s="500">
        <f t="shared" si="15"/>
        <v>0</v>
      </c>
      <c r="J68" s="500"/>
      <c r="K68" s="512"/>
      <c r="L68" s="504">
        <f t="shared" si="16"/>
        <v>0</v>
      </c>
      <c r="M68" s="512"/>
      <c r="N68" s="504">
        <f t="shared" si="17"/>
        <v>0</v>
      </c>
      <c r="O68" s="504">
        <f t="shared" si="18"/>
        <v>0</v>
      </c>
      <c r="P68" s="278"/>
      <c r="R68" s="243"/>
      <c r="S68" s="243"/>
      <c r="T68" s="243"/>
      <c r="U68" s="243"/>
    </row>
    <row r="69" spans="2:21">
      <c r="B69" s="145" t="str">
        <f t="shared" si="14"/>
        <v/>
      </c>
      <c r="C69" s="495">
        <f>IF(D11="","-",+C68+1)</f>
        <v>2063</v>
      </c>
      <c r="D69" s="508">
        <f>IF(F68+SUM(E$17:E68)=D$10,F68,D$10-SUM(E$17:E68))</f>
        <v>0</v>
      </c>
      <c r="E69" s="509">
        <f>IF(+I14&lt;F68,I14,D69)</f>
        <v>0</v>
      </c>
      <c r="F69" s="510">
        <f t="shared" si="19"/>
        <v>0</v>
      </c>
      <c r="G69" s="523">
        <f t="shared" si="12"/>
        <v>0</v>
      </c>
      <c r="H69" s="477">
        <f t="shared" si="13"/>
        <v>0</v>
      </c>
      <c r="I69" s="500">
        <f t="shared" si="15"/>
        <v>0</v>
      </c>
      <c r="J69" s="500"/>
      <c r="K69" s="512"/>
      <c r="L69" s="504">
        <f t="shared" si="16"/>
        <v>0</v>
      </c>
      <c r="M69" s="512"/>
      <c r="N69" s="504">
        <f t="shared" si="17"/>
        <v>0</v>
      </c>
      <c r="O69" s="504">
        <f t="shared" si="18"/>
        <v>0</v>
      </c>
      <c r="P69" s="278"/>
      <c r="R69" s="243"/>
      <c r="S69" s="243"/>
      <c r="T69" s="243"/>
      <c r="U69" s="243"/>
    </row>
    <row r="70" spans="2:21">
      <c r="B70" s="145" t="str">
        <f t="shared" si="14"/>
        <v/>
      </c>
      <c r="C70" s="495">
        <f>IF(D11="","-",+C69+1)</f>
        <v>2064</v>
      </c>
      <c r="D70" s="508">
        <f>IF(F69+SUM(E$17:E69)=D$10,F69,D$10-SUM(E$17:E69))</f>
        <v>0</v>
      </c>
      <c r="E70" s="509">
        <f>IF(+I14&lt;F69,I14,D70)</f>
        <v>0</v>
      </c>
      <c r="F70" s="510">
        <f t="shared" si="19"/>
        <v>0</v>
      </c>
      <c r="G70" s="523">
        <f t="shared" si="12"/>
        <v>0</v>
      </c>
      <c r="H70" s="477">
        <f t="shared" si="13"/>
        <v>0</v>
      </c>
      <c r="I70" s="500">
        <f t="shared" si="15"/>
        <v>0</v>
      </c>
      <c r="J70" s="500"/>
      <c r="K70" s="512"/>
      <c r="L70" s="504">
        <f t="shared" si="16"/>
        <v>0</v>
      </c>
      <c r="M70" s="512"/>
      <c r="N70" s="504">
        <f t="shared" si="17"/>
        <v>0</v>
      </c>
      <c r="O70" s="504">
        <f t="shared" si="18"/>
        <v>0</v>
      </c>
      <c r="P70" s="278"/>
      <c r="R70" s="243"/>
      <c r="S70" s="243"/>
      <c r="T70" s="243"/>
      <c r="U70" s="243"/>
    </row>
    <row r="71" spans="2:21">
      <c r="B71" s="145" t="str">
        <f t="shared" si="14"/>
        <v/>
      </c>
      <c r="C71" s="495">
        <f>IF(D11="","-",+C70+1)</f>
        <v>2065</v>
      </c>
      <c r="D71" s="508">
        <f>IF(F70+SUM(E$17:E70)=D$10,F70,D$10-SUM(E$17:E70))</f>
        <v>0</v>
      </c>
      <c r="E71" s="509">
        <f>IF(+I14&lt;F70,I14,D71)</f>
        <v>0</v>
      </c>
      <c r="F71" s="510">
        <f t="shared" si="19"/>
        <v>0</v>
      </c>
      <c r="G71" s="523">
        <f t="shared" si="12"/>
        <v>0</v>
      </c>
      <c r="H71" s="477">
        <f t="shared" si="13"/>
        <v>0</v>
      </c>
      <c r="I71" s="500">
        <f t="shared" si="15"/>
        <v>0</v>
      </c>
      <c r="J71" s="500"/>
      <c r="K71" s="512"/>
      <c r="L71" s="504">
        <f t="shared" si="16"/>
        <v>0</v>
      </c>
      <c r="M71" s="512"/>
      <c r="N71" s="504">
        <f t="shared" si="17"/>
        <v>0</v>
      </c>
      <c r="O71" s="504">
        <f t="shared" si="18"/>
        <v>0</v>
      </c>
      <c r="P71" s="278"/>
      <c r="R71" s="243"/>
      <c r="S71" s="243"/>
      <c r="T71" s="243"/>
      <c r="U71" s="243"/>
    </row>
    <row r="72" spans="2:21">
      <c r="B72" s="145" t="str">
        <f t="shared" si="14"/>
        <v/>
      </c>
      <c r="C72" s="495">
        <f>IF(D11="","-",+C71+1)</f>
        <v>2066</v>
      </c>
      <c r="D72" s="508">
        <f>IF(F71+SUM(E$17:E71)=D$10,F71,D$10-SUM(E$17:E71))</f>
        <v>0</v>
      </c>
      <c r="E72" s="509">
        <f>IF(+I14&lt;F71,I14,D72)</f>
        <v>0</v>
      </c>
      <c r="F72" s="510">
        <f t="shared" si="19"/>
        <v>0</v>
      </c>
      <c r="G72" s="523">
        <f t="shared" si="12"/>
        <v>0</v>
      </c>
      <c r="H72" s="477">
        <f t="shared" si="13"/>
        <v>0</v>
      </c>
      <c r="I72" s="500">
        <f t="shared" si="15"/>
        <v>0</v>
      </c>
      <c r="J72" s="500"/>
      <c r="K72" s="512"/>
      <c r="L72" s="504">
        <f t="shared" si="16"/>
        <v>0</v>
      </c>
      <c r="M72" s="512"/>
      <c r="N72" s="504">
        <f t="shared" si="17"/>
        <v>0</v>
      </c>
      <c r="O72" s="504">
        <f t="shared" si="18"/>
        <v>0</v>
      </c>
      <c r="P72" s="278"/>
      <c r="R72" s="243"/>
      <c r="S72" s="243"/>
      <c r="T72" s="243"/>
      <c r="U72" s="243"/>
    </row>
    <row r="73" spans="2:21" ht="13.5" thickBot="1">
      <c r="B73" s="145" t="str">
        <f t="shared" si="14"/>
        <v/>
      </c>
      <c r="C73" s="524">
        <f>IF(D11="","-",+C72+1)</f>
        <v>2067</v>
      </c>
      <c r="D73" s="525">
        <f>IF(F72+SUM(E$17:E72)=D$10,F72,D$10-SUM(E$17:E72))</f>
        <v>0</v>
      </c>
      <c r="E73" s="526">
        <f>IF(+I14&lt;F72,I14,D73)</f>
        <v>0</v>
      </c>
      <c r="F73" s="527">
        <f t="shared" si="19"/>
        <v>0</v>
      </c>
      <c r="G73" s="528">
        <f t="shared" si="12"/>
        <v>0</v>
      </c>
      <c r="H73" s="458">
        <f t="shared" si="13"/>
        <v>0</v>
      </c>
      <c r="I73" s="529">
        <f t="shared" si="15"/>
        <v>0</v>
      </c>
      <c r="J73" s="500"/>
      <c r="K73" s="530"/>
      <c r="L73" s="531">
        <f t="shared" si="16"/>
        <v>0</v>
      </c>
      <c r="M73" s="530"/>
      <c r="N73" s="531">
        <f t="shared" si="17"/>
        <v>0</v>
      </c>
      <c r="O73" s="531">
        <f t="shared" si="18"/>
        <v>0</v>
      </c>
      <c r="P73" s="278"/>
      <c r="R73" s="243"/>
      <c r="S73" s="243"/>
      <c r="T73" s="243"/>
      <c r="U73" s="243"/>
    </row>
    <row r="74" spans="2:21">
      <c r="C74" s="349" t="s">
        <v>75</v>
      </c>
      <c r="D74" s="294"/>
      <c r="E74" s="294">
        <f>SUM(E17:E73)</f>
        <v>614753</v>
      </c>
      <c r="F74" s="294"/>
      <c r="G74" s="294">
        <f>SUM(G17:G73)</f>
        <v>2047791.1877648982</v>
      </c>
      <c r="H74" s="294">
        <f>SUM(H17:H73)</f>
        <v>2047791.1877648982</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533" t="str">
        <f ca="1">P1</f>
        <v>OKT Project 3 of 23</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2020</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71183.123031214564</v>
      </c>
      <c r="N88" s="544">
        <f>IF(J93&lt;D11,0,VLOOKUP(J93,C17:O73,11))</f>
        <v>71183.123031214564</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74718.282345644373</v>
      </c>
      <c r="N89" s="548">
        <f>IF(J93&lt;D11,0,VLOOKUP(J93,C100:P155,7))</f>
        <v>74718.282345644373</v>
      </c>
      <c r="O89" s="549">
        <f>+N89-M89</f>
        <v>0</v>
      </c>
      <c r="P89" s="243"/>
      <c r="Q89" s="243"/>
      <c r="R89" s="243"/>
      <c r="S89" s="243"/>
      <c r="T89" s="243"/>
      <c r="U89" s="243"/>
    </row>
    <row r="90" spans="1:21" ht="13.5" thickBot="1">
      <c r="C90" s="454" t="s">
        <v>82</v>
      </c>
      <c r="D90" s="550" t="str">
        <f>+D7</f>
        <v>Tulsa Power Station Reactor</v>
      </c>
      <c r="E90" s="243"/>
      <c r="F90" s="243"/>
      <c r="G90" s="243"/>
      <c r="H90" s="243"/>
      <c r="I90" s="325"/>
      <c r="J90" s="325"/>
      <c r="K90" s="551"/>
      <c r="L90" s="552" t="s">
        <v>135</v>
      </c>
      <c r="M90" s="553">
        <f>+M89-M88</f>
        <v>3535.1593144298095</v>
      </c>
      <c r="N90" s="553">
        <f>+N89-N88</f>
        <v>3535.1593144298095</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TP2009090</v>
      </c>
      <c r="E92" s="558"/>
      <c r="F92" s="558"/>
      <c r="G92" s="558"/>
      <c r="H92" s="558"/>
      <c r="I92" s="558"/>
      <c r="J92" s="558"/>
      <c r="K92" s="560"/>
      <c r="P92" s="468"/>
      <c r="Q92" s="243"/>
      <c r="R92" s="243"/>
      <c r="S92" s="243"/>
      <c r="T92" s="243"/>
      <c r="U92" s="243"/>
    </row>
    <row r="93" spans="1:21">
      <c r="C93" s="472" t="s">
        <v>49</v>
      </c>
      <c r="D93" s="470">
        <f>IF(D11=I10,0,D10)</f>
        <v>614753</v>
      </c>
      <c r="E93" s="248" t="s">
        <v>84</v>
      </c>
      <c r="H93" s="408"/>
      <c r="I93" s="408"/>
      <c r="J93" s="471">
        <f>+'OKT.WS.G.BPU.ATRR.True-up'!M16</f>
        <v>2020</v>
      </c>
      <c r="K93" s="467"/>
      <c r="L93" s="294" t="s">
        <v>85</v>
      </c>
      <c r="P93" s="278"/>
      <c r="Q93" s="243"/>
      <c r="R93" s="243"/>
      <c r="S93" s="243"/>
      <c r="T93" s="243"/>
      <c r="U93" s="243"/>
    </row>
    <row r="94" spans="1:21">
      <c r="C94" s="472" t="s">
        <v>52</v>
      </c>
      <c r="D94" s="561">
        <f>IF(D11=I10,"",D11)</f>
        <v>2011</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f>IF(D11=I10,"",D12)</f>
        <v>10</v>
      </c>
      <c r="E95" s="472" t="s">
        <v>55</v>
      </c>
      <c r="F95" s="408"/>
      <c r="G95" s="408"/>
      <c r="J95" s="476">
        <f>'OKT.WS.G.BPU.ATRR.True-up'!$F$81</f>
        <v>0.11475877389767174</v>
      </c>
      <c r="K95" s="413"/>
      <c r="L95" s="145" t="s">
        <v>86</v>
      </c>
      <c r="P95" s="278"/>
      <c r="Q95" s="243"/>
      <c r="R95" s="243"/>
      <c r="S95" s="243"/>
      <c r="T95" s="243"/>
      <c r="U95" s="243"/>
    </row>
    <row r="96" spans="1:21">
      <c r="C96" s="472" t="s">
        <v>57</v>
      </c>
      <c r="D96" s="474">
        <f>'OKT.WS.G.BPU.ATRR.True-up'!F$93</f>
        <v>21</v>
      </c>
      <c r="E96" s="472" t="s">
        <v>58</v>
      </c>
      <c r="F96" s="408"/>
      <c r="G96" s="408"/>
      <c r="J96" s="476">
        <f>IF(H88="",J95,'OKT.WS.G.BPU.ATRR.True-up'!$F$80)</f>
        <v>0.11475877389767174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29273.952380952382</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B100" s="145" t="str">
        <f t="shared" ref="B100:B131" si="20">IF(D100=F99,"","IU")</f>
        <v>IU</v>
      </c>
      <c r="C100" s="495">
        <f>IF(D94= "","-",D94)</f>
        <v>2011</v>
      </c>
      <c r="D100" s="496">
        <v>0</v>
      </c>
      <c r="E100" s="498">
        <v>1766.3534482758621</v>
      </c>
      <c r="F100" s="505">
        <v>612924.64655172417</v>
      </c>
      <c r="G100" s="571">
        <v>306462.32327586209</v>
      </c>
      <c r="H100" s="571">
        <v>24552.570276961298</v>
      </c>
      <c r="I100" s="571">
        <v>24552.570276961298</v>
      </c>
      <c r="J100" s="504">
        <v>0</v>
      </c>
      <c r="K100" s="504"/>
      <c r="L100" s="587">
        <f t="shared" ref="L100:L105" si="21">H100</f>
        <v>24552.570276961298</v>
      </c>
      <c r="M100" s="588">
        <f t="shared" ref="M100:M131" si="22">IF(L100&lt;&gt;0,+H100-L100,0)</f>
        <v>0</v>
      </c>
      <c r="N100" s="506">
        <f t="shared" ref="N100:N105" si="23">I100</f>
        <v>24552.570276961298</v>
      </c>
      <c r="O100" s="588">
        <f t="shared" ref="O100:O131" si="24">IF(N100&lt;&gt;0,+I100-N100,0)</f>
        <v>0</v>
      </c>
      <c r="P100" s="503">
        <f t="shared" ref="P100:P131" si="25">+O100-M100</f>
        <v>0</v>
      </c>
      <c r="Q100" s="243"/>
      <c r="R100" s="243"/>
      <c r="S100" s="243"/>
      <c r="T100" s="243"/>
      <c r="U100" s="243"/>
    </row>
    <row r="101" spans="1:21">
      <c r="B101" s="145" t="str">
        <f t="shared" si="20"/>
        <v>IU</v>
      </c>
      <c r="C101" s="495">
        <f>IF(D94="","-",+C100+1)</f>
        <v>2012</v>
      </c>
      <c r="D101" s="496">
        <v>612986.64655172417</v>
      </c>
      <c r="E101" s="498">
        <v>10599.189655172413</v>
      </c>
      <c r="F101" s="505">
        <v>602387.45689655177</v>
      </c>
      <c r="G101" s="505">
        <v>607687.05172413797</v>
      </c>
      <c r="H101" s="498">
        <v>72187.934734594193</v>
      </c>
      <c r="I101" s="499">
        <v>72187.934734594193</v>
      </c>
      <c r="J101" s="504">
        <v>0</v>
      </c>
      <c r="K101" s="588"/>
      <c r="L101" s="589">
        <f t="shared" si="21"/>
        <v>72187.934734594193</v>
      </c>
      <c r="M101" s="588">
        <f t="shared" ref="M101:M106" si="26">IF(L101&lt;&gt;0,+H101-L101,0)</f>
        <v>0</v>
      </c>
      <c r="N101" s="506">
        <f t="shared" si="23"/>
        <v>72187.934734594193</v>
      </c>
      <c r="O101" s="588">
        <f>IF(N101&lt;&gt;0,+I101-N101,0)</f>
        <v>0</v>
      </c>
      <c r="P101" s="588">
        <f>+O101-M101</f>
        <v>0</v>
      </c>
      <c r="Q101" s="243"/>
      <c r="R101" s="243"/>
      <c r="S101" s="243"/>
      <c r="T101" s="243"/>
      <c r="U101" s="243"/>
    </row>
    <row r="102" spans="1:21">
      <c r="B102" s="145" t="str">
        <f t="shared" si="20"/>
        <v/>
      </c>
      <c r="C102" s="495">
        <f>IF(D94="","-",+C101+1)</f>
        <v>2013</v>
      </c>
      <c r="D102" s="496">
        <v>602387.45689655177</v>
      </c>
      <c r="E102" s="498">
        <v>10599.189655172413</v>
      </c>
      <c r="F102" s="505">
        <v>591788.26724137936</v>
      </c>
      <c r="G102" s="505">
        <v>597087.86206896557</v>
      </c>
      <c r="H102" s="498">
        <v>78464.169300722831</v>
      </c>
      <c r="I102" s="499">
        <v>78464.169300722831</v>
      </c>
      <c r="J102" s="504">
        <f t="shared" ref="J102:J131" si="27">+I102-H102</f>
        <v>0</v>
      </c>
      <c r="K102" s="588"/>
      <c r="L102" s="589">
        <f t="shared" si="21"/>
        <v>78464.169300722831</v>
      </c>
      <c r="M102" s="588">
        <f t="shared" si="26"/>
        <v>0</v>
      </c>
      <c r="N102" s="506">
        <f t="shared" si="23"/>
        <v>78464.169300722831</v>
      </c>
      <c r="O102" s="588">
        <f>IF(N102&lt;&gt;0,+I102-N102,0)</f>
        <v>0</v>
      </c>
      <c r="P102" s="588">
        <f>+O102-M102</f>
        <v>0</v>
      </c>
      <c r="Q102" s="243"/>
      <c r="R102" s="243"/>
      <c r="S102" s="243"/>
      <c r="T102" s="243"/>
      <c r="U102" s="243"/>
    </row>
    <row r="103" spans="1:21">
      <c r="B103" s="145" t="str">
        <f t="shared" si="20"/>
        <v/>
      </c>
      <c r="C103" s="495">
        <f>IF(D94="","-",+C102+1)</f>
        <v>2014</v>
      </c>
      <c r="D103" s="496">
        <v>591788.26724137936</v>
      </c>
      <c r="E103" s="498">
        <v>10599.189655172413</v>
      </c>
      <c r="F103" s="505">
        <v>581189.07758620696</v>
      </c>
      <c r="G103" s="505">
        <v>586488.67241379316</v>
      </c>
      <c r="H103" s="498">
        <v>73672.191823391273</v>
      </c>
      <c r="I103" s="499">
        <v>73672.191823391273</v>
      </c>
      <c r="J103" s="504">
        <v>0</v>
      </c>
      <c r="K103" s="504"/>
      <c r="L103" s="589">
        <f t="shared" si="21"/>
        <v>73672.191823391273</v>
      </c>
      <c r="M103" s="588">
        <f t="shared" si="26"/>
        <v>0</v>
      </c>
      <c r="N103" s="506">
        <f t="shared" si="23"/>
        <v>73672.191823391273</v>
      </c>
      <c r="O103" s="588">
        <f>IF(N103&lt;&gt;0,+I103-N103,0)</f>
        <v>0</v>
      </c>
      <c r="P103" s="588">
        <f>+O103-M103</f>
        <v>0</v>
      </c>
      <c r="Q103" s="243"/>
      <c r="R103" s="243"/>
      <c r="S103" s="243"/>
      <c r="T103" s="243"/>
      <c r="U103" s="243"/>
    </row>
    <row r="104" spans="1:21">
      <c r="B104" s="145" t="str">
        <f t="shared" si="20"/>
        <v/>
      </c>
      <c r="C104" s="495">
        <f>IF(D94="","-",+C103+1)</f>
        <v>2015</v>
      </c>
      <c r="D104" s="496">
        <v>581189.07758620696</v>
      </c>
      <c r="E104" s="498">
        <v>12807.354166666666</v>
      </c>
      <c r="F104" s="505">
        <v>568381.72341954033</v>
      </c>
      <c r="G104" s="505">
        <v>574785.40050287358</v>
      </c>
      <c r="H104" s="498">
        <v>76797.884368158106</v>
      </c>
      <c r="I104" s="499">
        <v>76797.884368158106</v>
      </c>
      <c r="J104" s="504">
        <f t="shared" si="27"/>
        <v>0</v>
      </c>
      <c r="K104" s="504"/>
      <c r="L104" s="589">
        <f t="shared" si="21"/>
        <v>76797.884368158106</v>
      </c>
      <c r="M104" s="588">
        <f t="shared" si="26"/>
        <v>0</v>
      </c>
      <c r="N104" s="506">
        <f t="shared" si="23"/>
        <v>76797.884368158106</v>
      </c>
      <c r="O104" s="588">
        <f t="shared" si="24"/>
        <v>0</v>
      </c>
      <c r="P104" s="588">
        <f t="shared" si="25"/>
        <v>0</v>
      </c>
      <c r="Q104" s="243"/>
      <c r="R104" s="243"/>
      <c r="S104" s="243"/>
      <c r="T104" s="243"/>
      <c r="U104" s="243"/>
    </row>
    <row r="105" spans="1:21">
      <c r="B105" s="145" t="str">
        <f t="shared" si="20"/>
        <v/>
      </c>
      <c r="C105" s="495">
        <f>IF(D94="","-",+C104+1)</f>
        <v>2016</v>
      </c>
      <c r="D105" s="496">
        <v>568381.72341954033</v>
      </c>
      <c r="E105" s="498">
        <v>12053.980392156862</v>
      </c>
      <c r="F105" s="505">
        <v>556327.74302738346</v>
      </c>
      <c r="G105" s="505">
        <v>562354.7332234619</v>
      </c>
      <c r="H105" s="498">
        <v>72996.058830960712</v>
      </c>
      <c r="I105" s="499">
        <v>72996.058830960712</v>
      </c>
      <c r="J105" s="504">
        <f t="shared" si="27"/>
        <v>0</v>
      </c>
      <c r="K105" s="504"/>
      <c r="L105" s="589">
        <f t="shared" si="21"/>
        <v>72996.058830960712</v>
      </c>
      <c r="M105" s="588">
        <f t="shared" si="26"/>
        <v>0</v>
      </c>
      <c r="N105" s="506">
        <f t="shared" si="23"/>
        <v>72996.058830960712</v>
      </c>
      <c r="O105" s="588">
        <f>IF(N105&lt;&gt;0,+I105-N105,0)</f>
        <v>0</v>
      </c>
      <c r="P105" s="588">
        <f>+O105-M105</f>
        <v>0</v>
      </c>
      <c r="Q105" s="243"/>
      <c r="R105" s="243"/>
      <c r="S105" s="243"/>
      <c r="T105" s="243"/>
      <c r="U105" s="243"/>
    </row>
    <row r="106" spans="1:21">
      <c r="B106" s="145" t="str">
        <f t="shared" si="20"/>
        <v/>
      </c>
      <c r="C106" s="495">
        <f>IF(D94="","-",+C105+1)</f>
        <v>2017</v>
      </c>
      <c r="D106" s="496">
        <v>556327.74302738346</v>
      </c>
      <c r="E106" s="498">
        <v>15368.825000000001</v>
      </c>
      <c r="F106" s="505">
        <v>540958.91802738351</v>
      </c>
      <c r="G106" s="505">
        <v>548643.33052738348</v>
      </c>
      <c r="H106" s="498">
        <v>79744.364331325967</v>
      </c>
      <c r="I106" s="499">
        <v>79744.364331325967</v>
      </c>
      <c r="J106" s="504">
        <f t="shared" si="27"/>
        <v>0</v>
      </c>
      <c r="K106" s="504"/>
      <c r="L106" s="589">
        <f>H106</f>
        <v>79744.364331325967</v>
      </c>
      <c r="M106" s="588">
        <f t="shared" si="26"/>
        <v>0</v>
      </c>
      <c r="N106" s="506">
        <f>I106</f>
        <v>79744.364331325967</v>
      </c>
      <c r="O106" s="588">
        <f>IF(N106&lt;&gt;0,+I106-N106,0)</f>
        <v>0</v>
      </c>
      <c r="P106" s="588">
        <f>+O106-M106</f>
        <v>0</v>
      </c>
      <c r="Q106" s="243"/>
      <c r="R106" s="243"/>
      <c r="S106" s="243"/>
      <c r="T106" s="243"/>
      <c r="U106" s="243"/>
    </row>
    <row r="107" spans="1:21">
      <c r="B107" s="145" t="str">
        <f t="shared" si="20"/>
        <v/>
      </c>
      <c r="C107" s="495">
        <f>IF(D94="","-",+C106+1)</f>
        <v>2018</v>
      </c>
      <c r="D107" s="496">
        <v>540958.91802738351</v>
      </c>
      <c r="E107" s="498">
        <v>17076.472222222223</v>
      </c>
      <c r="F107" s="505">
        <v>523882.44580516126</v>
      </c>
      <c r="G107" s="505">
        <v>532420.68191627238</v>
      </c>
      <c r="H107" s="498">
        <v>73280.103356307678</v>
      </c>
      <c r="I107" s="499">
        <v>73280.103356307678</v>
      </c>
      <c r="J107" s="504">
        <f t="shared" si="27"/>
        <v>0</v>
      </c>
      <c r="K107" s="504"/>
      <c r="L107" s="589">
        <f>H107</f>
        <v>73280.103356307678</v>
      </c>
      <c r="M107" s="588">
        <f t="shared" ref="M107" si="28">IF(L107&lt;&gt;0,+H107-L107,0)</f>
        <v>0</v>
      </c>
      <c r="N107" s="506">
        <f>I107</f>
        <v>73280.103356307678</v>
      </c>
      <c r="O107" s="588">
        <f>IF(N107&lt;&gt;0,+I107-N107,0)</f>
        <v>0</v>
      </c>
      <c r="P107" s="588">
        <f>+O107-M107</f>
        <v>0</v>
      </c>
      <c r="Q107" s="243"/>
      <c r="R107" s="243"/>
      <c r="S107" s="243"/>
      <c r="T107" s="243"/>
      <c r="U107" s="243"/>
    </row>
    <row r="108" spans="1:21">
      <c r="B108" s="145" t="str">
        <f t="shared" si="20"/>
        <v/>
      </c>
      <c r="C108" s="495">
        <f>IF(D94="","-",+C107+1)</f>
        <v>2019</v>
      </c>
      <c r="D108" s="496">
        <v>523882.44580516126</v>
      </c>
      <c r="E108" s="498">
        <v>17076.472222222223</v>
      </c>
      <c r="F108" s="505">
        <v>506805.97358293901</v>
      </c>
      <c r="G108" s="505">
        <v>515344.20969405014</v>
      </c>
      <c r="H108" s="498">
        <v>71477.469126557437</v>
      </c>
      <c r="I108" s="499">
        <v>71477.469126557437</v>
      </c>
      <c r="J108" s="504">
        <f t="shared" si="27"/>
        <v>0</v>
      </c>
      <c r="K108" s="504"/>
      <c r="L108" s="589">
        <f>H108</f>
        <v>71477.469126557437</v>
      </c>
      <c r="M108" s="588">
        <f t="shared" ref="M108:M109" si="29">IF(L108&lt;&gt;0,+H108-L108,0)</f>
        <v>0</v>
      </c>
      <c r="N108" s="506">
        <f>I108</f>
        <v>71477.469126557437</v>
      </c>
      <c r="O108" s="504">
        <f t="shared" si="24"/>
        <v>0</v>
      </c>
      <c r="P108" s="504">
        <f t="shared" si="25"/>
        <v>0</v>
      </c>
      <c r="Q108" s="243"/>
      <c r="R108" s="243"/>
      <c r="S108" s="243"/>
      <c r="T108" s="243"/>
      <c r="U108" s="243"/>
    </row>
    <row r="109" spans="1:21">
      <c r="B109" s="145" t="str">
        <f t="shared" si="20"/>
        <v/>
      </c>
      <c r="C109" s="495">
        <f>IF(D94="","-",+C108+1)</f>
        <v>2020</v>
      </c>
      <c r="D109" s="496">
        <v>506805.97358293901</v>
      </c>
      <c r="E109" s="498">
        <v>21955.464285714286</v>
      </c>
      <c r="F109" s="505">
        <v>484850.50929722475</v>
      </c>
      <c r="G109" s="505">
        <v>495828.24144008185</v>
      </c>
      <c r="H109" s="498">
        <v>74718.282345644373</v>
      </c>
      <c r="I109" s="499">
        <v>74718.282345644373</v>
      </c>
      <c r="J109" s="504">
        <f t="shared" si="27"/>
        <v>0</v>
      </c>
      <c r="K109" s="504"/>
      <c r="L109" s="589">
        <f>H109</f>
        <v>74718.282345644373</v>
      </c>
      <c r="M109" s="588">
        <f t="shared" si="29"/>
        <v>0</v>
      </c>
      <c r="N109" s="506">
        <f>I109</f>
        <v>74718.282345644373</v>
      </c>
      <c r="O109" s="504">
        <f t="shared" si="24"/>
        <v>0</v>
      </c>
      <c r="P109" s="504">
        <f t="shared" si="25"/>
        <v>0</v>
      </c>
      <c r="Q109" s="243"/>
      <c r="R109" s="243"/>
      <c r="S109" s="243"/>
      <c r="T109" s="243"/>
      <c r="U109" s="243"/>
    </row>
    <row r="110" spans="1:21">
      <c r="B110" s="145" t="str">
        <f t="shared" si="20"/>
        <v/>
      </c>
      <c r="C110" s="495">
        <f>IF(D94="","-",+C109+1)</f>
        <v>2021</v>
      </c>
      <c r="D110" s="349">
        <f>IF(F109+SUM(E$100:E109)=D$93,F109,D$93-SUM(E$100:E109))</f>
        <v>484850.50929722475</v>
      </c>
      <c r="E110" s="509">
        <f>IF(+J97&lt;F109,J97,D110)</f>
        <v>29273.952380952382</v>
      </c>
      <c r="F110" s="510">
        <f t="shared" ref="F110:F132" si="30">+D110-E110</f>
        <v>455576.55691627238</v>
      </c>
      <c r="G110" s="510">
        <f t="shared" ref="G110:G131" si="31">+(F110+D110)/2</f>
        <v>470213.5331067486</v>
      </c>
      <c r="H110" s="523">
        <f t="shared" ref="H110:H131" si="32">+J$95*G110+E110</f>
        <v>83235.080910375138</v>
      </c>
      <c r="I110" s="572">
        <f t="shared" ref="I110:I131" si="33">+J$96*G110+E110</f>
        <v>83235.080910375138</v>
      </c>
      <c r="J110" s="504">
        <f t="shared" si="27"/>
        <v>0</v>
      </c>
      <c r="K110" s="504"/>
      <c r="L110" s="512"/>
      <c r="M110" s="504">
        <f t="shared" si="22"/>
        <v>0</v>
      </c>
      <c r="N110" s="512"/>
      <c r="O110" s="504">
        <f t="shared" si="24"/>
        <v>0</v>
      </c>
      <c r="P110" s="504">
        <f t="shared" si="25"/>
        <v>0</v>
      </c>
      <c r="Q110" s="243"/>
      <c r="R110" s="243"/>
      <c r="S110" s="243"/>
      <c r="T110" s="243"/>
      <c r="U110" s="243"/>
    </row>
    <row r="111" spans="1:21">
      <c r="B111" s="145" t="str">
        <f t="shared" si="20"/>
        <v/>
      </c>
      <c r="C111" s="495">
        <f>IF(D94="","-",+C110+1)</f>
        <v>2022</v>
      </c>
      <c r="D111" s="349">
        <f>IF(F110+SUM(E$100:E110)=D$93,F110,D$93-SUM(E$100:E110))</f>
        <v>455576.55691627238</v>
      </c>
      <c r="E111" s="509">
        <f>IF(+J97&lt;F110,J97,D111)</f>
        <v>29273.952380952382</v>
      </c>
      <c r="F111" s="510">
        <f t="shared" si="30"/>
        <v>426302.60453532002</v>
      </c>
      <c r="G111" s="510">
        <f t="shared" si="31"/>
        <v>440939.58072579617</v>
      </c>
      <c r="H111" s="523">
        <f t="shared" si="32"/>
        <v>79875.638027998197</v>
      </c>
      <c r="I111" s="572">
        <f t="shared" si="33"/>
        <v>79875.638027998197</v>
      </c>
      <c r="J111" s="504">
        <f t="shared" si="27"/>
        <v>0</v>
      </c>
      <c r="K111" s="504"/>
      <c r="L111" s="512"/>
      <c r="M111" s="504">
        <f t="shared" si="22"/>
        <v>0</v>
      </c>
      <c r="N111" s="512"/>
      <c r="O111" s="504">
        <f t="shared" si="24"/>
        <v>0</v>
      </c>
      <c r="P111" s="504">
        <f t="shared" si="25"/>
        <v>0</v>
      </c>
      <c r="Q111" s="243"/>
      <c r="R111" s="243"/>
      <c r="S111" s="243"/>
      <c r="T111" s="243"/>
      <c r="U111" s="243"/>
    </row>
    <row r="112" spans="1:21">
      <c r="B112" s="145" t="str">
        <f t="shared" si="20"/>
        <v/>
      </c>
      <c r="C112" s="495">
        <f>IF(D94="","-",+C111+1)</f>
        <v>2023</v>
      </c>
      <c r="D112" s="349">
        <f>IF(F111+SUM(E$100:E111)=D$93,F111,D$93-SUM(E$100:E111))</f>
        <v>426302.60453532002</v>
      </c>
      <c r="E112" s="509">
        <f>IF(+J97&lt;F111,J97,D112)</f>
        <v>29273.952380952382</v>
      </c>
      <c r="F112" s="510">
        <f t="shared" si="30"/>
        <v>397028.65215436765</v>
      </c>
      <c r="G112" s="510">
        <f t="shared" si="31"/>
        <v>411665.62834484386</v>
      </c>
      <c r="H112" s="523">
        <f t="shared" si="32"/>
        <v>76516.195145621285</v>
      </c>
      <c r="I112" s="572">
        <f t="shared" si="33"/>
        <v>76516.195145621285</v>
      </c>
      <c r="J112" s="504">
        <f t="shared" si="27"/>
        <v>0</v>
      </c>
      <c r="K112" s="504"/>
      <c r="L112" s="512"/>
      <c r="M112" s="504">
        <f t="shared" si="22"/>
        <v>0</v>
      </c>
      <c r="N112" s="512"/>
      <c r="O112" s="504">
        <f t="shared" si="24"/>
        <v>0</v>
      </c>
      <c r="P112" s="504">
        <f t="shared" si="25"/>
        <v>0</v>
      </c>
      <c r="Q112" s="243"/>
      <c r="R112" s="243"/>
      <c r="S112" s="243"/>
      <c r="T112" s="243"/>
      <c r="U112" s="243"/>
    </row>
    <row r="113" spans="2:21">
      <c r="B113" s="145" t="str">
        <f t="shared" si="20"/>
        <v/>
      </c>
      <c r="C113" s="495">
        <f>IF(D94="","-",+C112+1)</f>
        <v>2024</v>
      </c>
      <c r="D113" s="349">
        <f>IF(F112+SUM(E$100:E112)=D$93,F112,D$93-SUM(E$100:E112))</f>
        <v>397028.65215436765</v>
      </c>
      <c r="E113" s="509">
        <f>IF(+J97&lt;F112,J97,D113)</f>
        <v>29273.952380952382</v>
      </c>
      <c r="F113" s="510">
        <f t="shared" si="30"/>
        <v>367754.69977341528</v>
      </c>
      <c r="G113" s="510">
        <f t="shared" si="31"/>
        <v>382391.67596389144</v>
      </c>
      <c r="H113" s="523">
        <f t="shared" si="32"/>
        <v>73156.752263244358</v>
      </c>
      <c r="I113" s="572">
        <f t="shared" si="33"/>
        <v>73156.752263244358</v>
      </c>
      <c r="J113" s="504">
        <f t="shared" si="27"/>
        <v>0</v>
      </c>
      <c r="K113" s="504"/>
      <c r="L113" s="512"/>
      <c r="M113" s="504">
        <f t="shared" si="22"/>
        <v>0</v>
      </c>
      <c r="N113" s="512"/>
      <c r="O113" s="504">
        <f t="shared" si="24"/>
        <v>0</v>
      </c>
      <c r="P113" s="504">
        <f t="shared" si="25"/>
        <v>0</v>
      </c>
      <c r="Q113" s="243"/>
      <c r="R113" s="243"/>
      <c r="S113" s="243"/>
      <c r="T113" s="243"/>
      <c r="U113" s="243"/>
    </row>
    <row r="114" spans="2:21">
      <c r="B114" s="145" t="str">
        <f t="shared" si="20"/>
        <v/>
      </c>
      <c r="C114" s="495">
        <f>IF(D94="","-",+C113+1)</f>
        <v>2025</v>
      </c>
      <c r="D114" s="349">
        <f>IF(F113+SUM(E$100:E113)=D$93,F113,D$93-SUM(E$100:E113))</f>
        <v>367754.69977341528</v>
      </c>
      <c r="E114" s="509">
        <f>IF(+J97&lt;F113,J97,D114)</f>
        <v>29273.952380952382</v>
      </c>
      <c r="F114" s="510">
        <f t="shared" si="30"/>
        <v>338480.74739246292</v>
      </c>
      <c r="G114" s="510">
        <f t="shared" si="31"/>
        <v>353117.72358293913</v>
      </c>
      <c r="H114" s="523">
        <f t="shared" si="32"/>
        <v>69797.309380867431</v>
      </c>
      <c r="I114" s="572">
        <f t="shared" si="33"/>
        <v>69797.309380867431</v>
      </c>
      <c r="J114" s="504">
        <f t="shared" si="27"/>
        <v>0</v>
      </c>
      <c r="K114" s="504"/>
      <c r="L114" s="512"/>
      <c r="M114" s="504">
        <f t="shared" si="22"/>
        <v>0</v>
      </c>
      <c r="N114" s="512"/>
      <c r="O114" s="504">
        <f t="shared" si="24"/>
        <v>0</v>
      </c>
      <c r="P114" s="504">
        <f t="shared" si="25"/>
        <v>0</v>
      </c>
      <c r="Q114" s="243"/>
      <c r="R114" s="243"/>
      <c r="S114" s="243"/>
      <c r="T114" s="243"/>
      <c r="U114" s="243"/>
    </row>
    <row r="115" spans="2:21">
      <c r="B115" s="145" t="str">
        <f t="shared" si="20"/>
        <v/>
      </c>
      <c r="C115" s="495">
        <f>IF(D94="","-",+C114+1)</f>
        <v>2026</v>
      </c>
      <c r="D115" s="349">
        <f>IF(F114+SUM(E$100:E114)=D$93,F114,D$93-SUM(E$100:E114))</f>
        <v>338480.74739246292</v>
      </c>
      <c r="E115" s="509">
        <f>IF(+J97&lt;F114,J97,D115)</f>
        <v>29273.952380952382</v>
      </c>
      <c r="F115" s="510">
        <f t="shared" si="30"/>
        <v>309206.79501151055</v>
      </c>
      <c r="G115" s="510">
        <f t="shared" si="31"/>
        <v>323843.7712019867</v>
      </c>
      <c r="H115" s="523">
        <f t="shared" si="32"/>
        <v>66437.866498490504</v>
      </c>
      <c r="I115" s="572">
        <f t="shared" si="33"/>
        <v>66437.866498490504</v>
      </c>
      <c r="J115" s="504">
        <f t="shared" si="27"/>
        <v>0</v>
      </c>
      <c r="K115" s="504"/>
      <c r="L115" s="512"/>
      <c r="M115" s="504">
        <f t="shared" si="22"/>
        <v>0</v>
      </c>
      <c r="N115" s="512"/>
      <c r="O115" s="504">
        <f t="shared" si="24"/>
        <v>0</v>
      </c>
      <c r="P115" s="504">
        <f t="shared" si="25"/>
        <v>0</v>
      </c>
      <c r="Q115" s="243"/>
      <c r="R115" s="243"/>
      <c r="S115" s="243"/>
      <c r="T115" s="243"/>
      <c r="U115" s="243"/>
    </row>
    <row r="116" spans="2:21">
      <c r="B116" s="145" t="str">
        <f t="shared" si="20"/>
        <v/>
      </c>
      <c r="C116" s="495">
        <f>IF(D94="","-",+C115+1)</f>
        <v>2027</v>
      </c>
      <c r="D116" s="349">
        <f>IF(F115+SUM(E$100:E115)=D$93,F115,D$93-SUM(E$100:E115))</f>
        <v>309206.79501151055</v>
      </c>
      <c r="E116" s="509">
        <f>IF(+J97&lt;F115,J97,D116)</f>
        <v>29273.952380952382</v>
      </c>
      <c r="F116" s="510">
        <f t="shared" si="30"/>
        <v>279932.84263055818</v>
      </c>
      <c r="G116" s="510">
        <f t="shared" si="31"/>
        <v>294569.81882103439</v>
      </c>
      <c r="H116" s="523">
        <f t="shared" si="32"/>
        <v>63078.4236161136</v>
      </c>
      <c r="I116" s="572">
        <f t="shared" si="33"/>
        <v>63078.4236161136</v>
      </c>
      <c r="J116" s="504">
        <f t="shared" si="27"/>
        <v>0</v>
      </c>
      <c r="K116" s="504"/>
      <c r="L116" s="512"/>
      <c r="M116" s="504">
        <f t="shared" si="22"/>
        <v>0</v>
      </c>
      <c r="N116" s="512"/>
      <c r="O116" s="504">
        <f t="shared" si="24"/>
        <v>0</v>
      </c>
      <c r="P116" s="504">
        <f t="shared" si="25"/>
        <v>0</v>
      </c>
      <c r="Q116" s="243"/>
      <c r="R116" s="243"/>
      <c r="S116" s="243"/>
      <c r="T116" s="243"/>
      <c r="U116" s="243"/>
    </row>
    <row r="117" spans="2:21">
      <c r="B117" s="145" t="str">
        <f t="shared" si="20"/>
        <v/>
      </c>
      <c r="C117" s="495">
        <f>IF(D94="","-",+C116+1)</f>
        <v>2028</v>
      </c>
      <c r="D117" s="349">
        <f>IF(F116+SUM(E$100:E116)=D$93,F116,D$93-SUM(E$100:E116))</f>
        <v>279932.84263055818</v>
      </c>
      <c r="E117" s="509">
        <f>IF(+J97&lt;F116,J97,D117)</f>
        <v>29273.952380952382</v>
      </c>
      <c r="F117" s="510">
        <f t="shared" si="30"/>
        <v>250658.89024960581</v>
      </c>
      <c r="G117" s="510">
        <f t="shared" si="31"/>
        <v>265295.86644008197</v>
      </c>
      <c r="H117" s="523">
        <f t="shared" si="32"/>
        <v>59718.980733736666</v>
      </c>
      <c r="I117" s="572">
        <f t="shared" si="33"/>
        <v>59718.980733736666</v>
      </c>
      <c r="J117" s="504">
        <f t="shared" si="27"/>
        <v>0</v>
      </c>
      <c r="K117" s="504"/>
      <c r="L117" s="512"/>
      <c r="M117" s="504">
        <f t="shared" si="22"/>
        <v>0</v>
      </c>
      <c r="N117" s="512"/>
      <c r="O117" s="504">
        <f t="shared" si="24"/>
        <v>0</v>
      </c>
      <c r="P117" s="504">
        <f t="shared" si="25"/>
        <v>0</v>
      </c>
      <c r="Q117" s="243"/>
      <c r="R117" s="243"/>
      <c r="S117" s="243"/>
      <c r="T117" s="243"/>
      <c r="U117" s="243"/>
    </row>
    <row r="118" spans="2:21">
      <c r="B118" s="145" t="str">
        <f t="shared" si="20"/>
        <v/>
      </c>
      <c r="C118" s="495">
        <f>IF(D94="","-",+C117+1)</f>
        <v>2029</v>
      </c>
      <c r="D118" s="349">
        <f>IF(F117+SUM(E$100:E117)=D$93,F117,D$93-SUM(E$100:E117))</f>
        <v>250658.89024960581</v>
      </c>
      <c r="E118" s="509">
        <f>IF(+J97&lt;F117,J97,D118)</f>
        <v>29273.952380952382</v>
      </c>
      <c r="F118" s="510">
        <f t="shared" si="30"/>
        <v>221384.93786865345</v>
      </c>
      <c r="G118" s="510">
        <f t="shared" si="31"/>
        <v>236021.91405912963</v>
      </c>
      <c r="H118" s="523">
        <f t="shared" si="32"/>
        <v>56359.537851359753</v>
      </c>
      <c r="I118" s="572">
        <f t="shared" si="33"/>
        <v>56359.537851359753</v>
      </c>
      <c r="J118" s="504">
        <f t="shared" si="27"/>
        <v>0</v>
      </c>
      <c r="K118" s="504"/>
      <c r="L118" s="512"/>
      <c r="M118" s="504">
        <f t="shared" si="22"/>
        <v>0</v>
      </c>
      <c r="N118" s="512"/>
      <c r="O118" s="504">
        <f t="shared" si="24"/>
        <v>0</v>
      </c>
      <c r="P118" s="504">
        <f t="shared" si="25"/>
        <v>0</v>
      </c>
      <c r="Q118" s="243"/>
      <c r="R118" s="243"/>
      <c r="S118" s="243"/>
      <c r="T118" s="243"/>
      <c r="U118" s="243"/>
    </row>
    <row r="119" spans="2:21">
      <c r="B119" s="145" t="str">
        <f t="shared" si="20"/>
        <v/>
      </c>
      <c r="C119" s="495">
        <f>IF(D94="","-",+C118+1)</f>
        <v>2030</v>
      </c>
      <c r="D119" s="349">
        <f>IF(F118+SUM(E$100:E118)=D$93,F118,D$93-SUM(E$100:E118))</f>
        <v>221384.93786865345</v>
      </c>
      <c r="E119" s="509">
        <f>IF(+J97&lt;F118,J97,D119)</f>
        <v>29273.952380952382</v>
      </c>
      <c r="F119" s="510">
        <f t="shared" si="30"/>
        <v>192110.98548770108</v>
      </c>
      <c r="G119" s="510">
        <f t="shared" si="31"/>
        <v>206747.96167817726</v>
      </c>
      <c r="H119" s="523">
        <f t="shared" si="32"/>
        <v>53000.094968982827</v>
      </c>
      <c r="I119" s="572">
        <f t="shared" si="33"/>
        <v>53000.094968982827</v>
      </c>
      <c r="J119" s="504">
        <f t="shared" si="27"/>
        <v>0</v>
      </c>
      <c r="K119" s="504"/>
      <c r="L119" s="512"/>
      <c r="M119" s="504">
        <f t="shared" si="22"/>
        <v>0</v>
      </c>
      <c r="N119" s="512"/>
      <c r="O119" s="504">
        <f t="shared" si="24"/>
        <v>0</v>
      </c>
      <c r="P119" s="504">
        <f t="shared" si="25"/>
        <v>0</v>
      </c>
      <c r="Q119" s="243"/>
      <c r="R119" s="243"/>
      <c r="S119" s="243"/>
      <c r="T119" s="243"/>
      <c r="U119" s="243"/>
    </row>
    <row r="120" spans="2:21">
      <c r="B120" s="145" t="str">
        <f t="shared" si="20"/>
        <v/>
      </c>
      <c r="C120" s="495">
        <f>IF(D94="","-",+C119+1)</f>
        <v>2031</v>
      </c>
      <c r="D120" s="349">
        <f>IF(F119+SUM(E$100:E119)=D$93,F119,D$93-SUM(E$100:E119))</f>
        <v>192110.98548770108</v>
      </c>
      <c r="E120" s="509">
        <f>IF(+J97&lt;F119,J97,D120)</f>
        <v>29273.952380952382</v>
      </c>
      <c r="F120" s="510">
        <f t="shared" si="30"/>
        <v>162837.03310674871</v>
      </c>
      <c r="G120" s="510">
        <f t="shared" si="31"/>
        <v>177474.0092972249</v>
      </c>
      <c r="H120" s="523">
        <f t="shared" si="32"/>
        <v>49640.6520866059</v>
      </c>
      <c r="I120" s="572">
        <f t="shared" si="33"/>
        <v>49640.6520866059</v>
      </c>
      <c r="J120" s="504">
        <f t="shared" si="27"/>
        <v>0</v>
      </c>
      <c r="K120" s="504"/>
      <c r="L120" s="512"/>
      <c r="M120" s="504">
        <f t="shared" si="22"/>
        <v>0</v>
      </c>
      <c r="N120" s="512"/>
      <c r="O120" s="504">
        <f t="shared" si="24"/>
        <v>0</v>
      </c>
      <c r="P120" s="504">
        <f t="shared" si="25"/>
        <v>0</v>
      </c>
      <c r="Q120" s="243"/>
      <c r="R120" s="243"/>
      <c r="S120" s="243"/>
      <c r="T120" s="243"/>
      <c r="U120" s="243"/>
    </row>
    <row r="121" spans="2:21">
      <c r="B121" s="145" t="str">
        <f t="shared" si="20"/>
        <v/>
      </c>
      <c r="C121" s="495">
        <f>IF(D94="","-",+C120+1)</f>
        <v>2032</v>
      </c>
      <c r="D121" s="349">
        <f>IF(F120+SUM(E$100:E120)=D$93,F120,D$93-SUM(E$100:E120))</f>
        <v>162837.03310674871</v>
      </c>
      <c r="E121" s="509">
        <f>IF(+J97&lt;F120,J97,D121)</f>
        <v>29273.952380952382</v>
      </c>
      <c r="F121" s="510">
        <f t="shared" si="30"/>
        <v>133563.08072579635</v>
      </c>
      <c r="G121" s="510">
        <f t="shared" si="31"/>
        <v>148200.05691627253</v>
      </c>
      <c r="H121" s="523">
        <f t="shared" si="32"/>
        <v>46281.209204228988</v>
      </c>
      <c r="I121" s="572">
        <f t="shared" si="33"/>
        <v>46281.209204228988</v>
      </c>
      <c r="J121" s="504">
        <f t="shared" si="27"/>
        <v>0</v>
      </c>
      <c r="K121" s="504"/>
      <c r="L121" s="512"/>
      <c r="M121" s="504">
        <f t="shared" si="22"/>
        <v>0</v>
      </c>
      <c r="N121" s="512"/>
      <c r="O121" s="504">
        <f t="shared" si="24"/>
        <v>0</v>
      </c>
      <c r="P121" s="504">
        <f t="shared" si="25"/>
        <v>0</v>
      </c>
      <c r="Q121" s="243"/>
      <c r="R121" s="243"/>
      <c r="S121" s="243"/>
      <c r="T121" s="243"/>
      <c r="U121" s="243"/>
    </row>
    <row r="122" spans="2:21">
      <c r="B122" s="145" t="str">
        <f t="shared" si="20"/>
        <v/>
      </c>
      <c r="C122" s="495">
        <f>IF(D94="","-",+C121+1)</f>
        <v>2033</v>
      </c>
      <c r="D122" s="349">
        <f>IF(F121+SUM(E$100:E121)=D$93,F121,D$93-SUM(E$100:E121))</f>
        <v>133563.08072579635</v>
      </c>
      <c r="E122" s="509">
        <f>IF(+J97&lt;F121,J97,D122)</f>
        <v>29273.952380952382</v>
      </c>
      <c r="F122" s="510">
        <f t="shared" si="30"/>
        <v>104289.12834484396</v>
      </c>
      <c r="G122" s="510">
        <f t="shared" si="31"/>
        <v>118926.10453532016</v>
      </c>
      <c r="H122" s="523">
        <f t="shared" si="32"/>
        <v>42921.766321852061</v>
      </c>
      <c r="I122" s="572">
        <f t="shared" si="33"/>
        <v>42921.766321852061</v>
      </c>
      <c r="J122" s="504">
        <f t="shared" si="27"/>
        <v>0</v>
      </c>
      <c r="K122" s="504"/>
      <c r="L122" s="512"/>
      <c r="M122" s="504">
        <f t="shared" si="22"/>
        <v>0</v>
      </c>
      <c r="N122" s="512"/>
      <c r="O122" s="504">
        <f t="shared" si="24"/>
        <v>0</v>
      </c>
      <c r="P122" s="504">
        <f t="shared" si="25"/>
        <v>0</v>
      </c>
      <c r="Q122" s="243"/>
      <c r="R122" s="243"/>
      <c r="S122" s="243"/>
      <c r="T122" s="243"/>
      <c r="U122" s="243"/>
    </row>
    <row r="123" spans="2:21">
      <c r="B123" s="145" t="str">
        <f t="shared" si="20"/>
        <v/>
      </c>
      <c r="C123" s="495">
        <f>IF(D94="","-",+C122+1)</f>
        <v>2034</v>
      </c>
      <c r="D123" s="349">
        <f>IF(F122+SUM(E$100:E122)=D$93,F122,D$93-SUM(E$100:E122))</f>
        <v>104289.12834484396</v>
      </c>
      <c r="E123" s="509">
        <f>IF(+J97&lt;F122,J97,D123)</f>
        <v>29273.952380952382</v>
      </c>
      <c r="F123" s="510">
        <f t="shared" si="30"/>
        <v>75015.175963891583</v>
      </c>
      <c r="G123" s="510">
        <f t="shared" si="31"/>
        <v>89652.152154367766</v>
      </c>
      <c r="H123" s="523">
        <f t="shared" si="32"/>
        <v>39562.323439475134</v>
      </c>
      <c r="I123" s="572">
        <f t="shared" si="33"/>
        <v>39562.323439475134</v>
      </c>
      <c r="J123" s="504">
        <f t="shared" si="27"/>
        <v>0</v>
      </c>
      <c r="K123" s="504"/>
      <c r="L123" s="512"/>
      <c r="M123" s="504">
        <f t="shared" si="22"/>
        <v>0</v>
      </c>
      <c r="N123" s="512"/>
      <c r="O123" s="504">
        <f t="shared" si="24"/>
        <v>0</v>
      </c>
      <c r="P123" s="504">
        <f t="shared" si="25"/>
        <v>0</v>
      </c>
      <c r="Q123" s="243"/>
      <c r="R123" s="243"/>
      <c r="S123" s="243"/>
      <c r="T123" s="243"/>
      <c r="U123" s="243"/>
    </row>
    <row r="124" spans="2:21">
      <c r="B124" s="145" t="str">
        <f t="shared" si="20"/>
        <v/>
      </c>
      <c r="C124" s="495">
        <f>IF(D94="","-",+C123+1)</f>
        <v>2035</v>
      </c>
      <c r="D124" s="349">
        <f>IF(F123+SUM(E$100:E123)=D$93,F123,D$93-SUM(E$100:E123))</f>
        <v>75015.175963891583</v>
      </c>
      <c r="E124" s="509">
        <f>IF(+J97&lt;F123,J97,D124)</f>
        <v>29273.952380952382</v>
      </c>
      <c r="F124" s="510">
        <f t="shared" si="30"/>
        <v>45741.223582939201</v>
      </c>
      <c r="G124" s="510">
        <f t="shared" si="31"/>
        <v>60378.199773415392</v>
      </c>
      <c r="H124" s="523">
        <f t="shared" si="32"/>
        <v>36202.880557098215</v>
      </c>
      <c r="I124" s="572">
        <f t="shared" si="33"/>
        <v>36202.880557098215</v>
      </c>
      <c r="J124" s="504">
        <f t="shared" si="27"/>
        <v>0</v>
      </c>
      <c r="K124" s="504"/>
      <c r="L124" s="512"/>
      <c r="M124" s="504">
        <f t="shared" si="22"/>
        <v>0</v>
      </c>
      <c r="N124" s="512"/>
      <c r="O124" s="504">
        <f t="shared" si="24"/>
        <v>0</v>
      </c>
      <c r="P124" s="504">
        <f t="shared" si="25"/>
        <v>0</v>
      </c>
      <c r="Q124" s="243"/>
      <c r="R124" s="243"/>
      <c r="S124" s="243"/>
      <c r="T124" s="243"/>
      <c r="U124" s="243"/>
    </row>
    <row r="125" spans="2:21">
      <c r="B125" s="145" t="str">
        <f t="shared" si="20"/>
        <v/>
      </c>
      <c r="C125" s="495">
        <f>IF(D94="","-",+C124+1)</f>
        <v>2036</v>
      </c>
      <c r="D125" s="349">
        <f>IF(F124+SUM(E$100:E124)=D$93,F124,D$93-SUM(E$100:E124))</f>
        <v>45741.223582939201</v>
      </c>
      <c r="E125" s="509">
        <f>IF(+J97&lt;F124,J97,D125)</f>
        <v>29273.952380952382</v>
      </c>
      <c r="F125" s="510">
        <f t="shared" si="30"/>
        <v>16467.27120198682</v>
      </c>
      <c r="G125" s="510">
        <f t="shared" si="31"/>
        <v>31104.24739246301</v>
      </c>
      <c r="H125" s="523">
        <f t="shared" si="32"/>
        <v>32843.437674721288</v>
      </c>
      <c r="I125" s="572">
        <f t="shared" si="33"/>
        <v>32843.437674721288</v>
      </c>
      <c r="J125" s="504">
        <f t="shared" si="27"/>
        <v>0</v>
      </c>
      <c r="K125" s="504"/>
      <c r="L125" s="512"/>
      <c r="M125" s="504">
        <f t="shared" si="22"/>
        <v>0</v>
      </c>
      <c r="N125" s="512"/>
      <c r="O125" s="504">
        <f t="shared" si="24"/>
        <v>0</v>
      </c>
      <c r="P125" s="504">
        <f t="shared" si="25"/>
        <v>0</v>
      </c>
      <c r="Q125" s="243"/>
      <c r="R125" s="243"/>
      <c r="S125" s="243"/>
      <c r="T125" s="243"/>
      <c r="U125" s="243"/>
    </row>
    <row r="126" spans="2:21">
      <c r="B126" s="145" t="str">
        <f t="shared" si="20"/>
        <v/>
      </c>
      <c r="C126" s="495">
        <f>IF(D94="","-",+C125+1)</f>
        <v>2037</v>
      </c>
      <c r="D126" s="349">
        <f>IF(F125+SUM(E$100:E125)=D$93,F125,D$93-SUM(E$100:E125))</f>
        <v>16467.27120198682</v>
      </c>
      <c r="E126" s="509">
        <f>IF(+J97&lt;F125,J97,D126)</f>
        <v>16467.27120198682</v>
      </c>
      <c r="F126" s="510">
        <f t="shared" si="30"/>
        <v>0</v>
      </c>
      <c r="G126" s="510">
        <f t="shared" si="31"/>
        <v>8233.6356009934098</v>
      </c>
      <c r="H126" s="523">
        <f t="shared" si="32"/>
        <v>17412.153128277041</v>
      </c>
      <c r="I126" s="572">
        <f t="shared" si="33"/>
        <v>17412.153128277041</v>
      </c>
      <c r="J126" s="504">
        <f t="shared" si="27"/>
        <v>0</v>
      </c>
      <c r="K126" s="504"/>
      <c r="L126" s="512"/>
      <c r="M126" s="504">
        <f t="shared" si="22"/>
        <v>0</v>
      </c>
      <c r="N126" s="512"/>
      <c r="O126" s="504">
        <f t="shared" si="24"/>
        <v>0</v>
      </c>
      <c r="P126" s="504">
        <f t="shared" si="25"/>
        <v>0</v>
      </c>
      <c r="Q126" s="243"/>
      <c r="R126" s="243"/>
      <c r="S126" s="243"/>
      <c r="T126" s="243"/>
      <c r="U126" s="243"/>
    </row>
    <row r="127" spans="2:21">
      <c r="B127" s="145" t="str">
        <f t="shared" si="20"/>
        <v/>
      </c>
      <c r="C127" s="495">
        <f>IF(D94="","-",+C126+1)</f>
        <v>2038</v>
      </c>
      <c r="D127" s="349">
        <f>IF(F126+SUM(E$100:E126)=D$93,F126,D$93-SUM(E$100:E126))</f>
        <v>0</v>
      </c>
      <c r="E127" s="509">
        <f>IF(+J97&lt;F126,J97,D127)</f>
        <v>0</v>
      </c>
      <c r="F127" s="510">
        <f t="shared" si="30"/>
        <v>0</v>
      </c>
      <c r="G127" s="510">
        <f t="shared" si="31"/>
        <v>0</v>
      </c>
      <c r="H127" s="523">
        <f t="shared" si="32"/>
        <v>0</v>
      </c>
      <c r="I127" s="572">
        <f t="shared" si="33"/>
        <v>0</v>
      </c>
      <c r="J127" s="504">
        <f t="shared" si="27"/>
        <v>0</v>
      </c>
      <c r="K127" s="504"/>
      <c r="L127" s="512"/>
      <c r="M127" s="504">
        <f t="shared" si="22"/>
        <v>0</v>
      </c>
      <c r="N127" s="512"/>
      <c r="O127" s="504">
        <f t="shared" si="24"/>
        <v>0</v>
      </c>
      <c r="P127" s="504">
        <f t="shared" si="25"/>
        <v>0</v>
      </c>
      <c r="Q127" s="243"/>
      <c r="R127" s="243"/>
      <c r="S127" s="243"/>
      <c r="T127" s="243"/>
      <c r="U127" s="243"/>
    </row>
    <row r="128" spans="2:21">
      <c r="B128" s="145" t="str">
        <f t="shared" si="20"/>
        <v/>
      </c>
      <c r="C128" s="495">
        <f>IF(D94="","-",+C127+1)</f>
        <v>2039</v>
      </c>
      <c r="D128" s="349">
        <f>IF(F127+SUM(E$100:E127)=D$93,F127,D$93-SUM(E$100:E127))</f>
        <v>0</v>
      </c>
      <c r="E128" s="509">
        <f>IF(+J97&lt;F127,J97,D128)</f>
        <v>0</v>
      </c>
      <c r="F128" s="510">
        <f t="shared" si="30"/>
        <v>0</v>
      </c>
      <c r="G128" s="510">
        <f t="shared" si="31"/>
        <v>0</v>
      </c>
      <c r="H128" s="523">
        <f t="shared" si="32"/>
        <v>0</v>
      </c>
      <c r="I128" s="572">
        <f t="shared" si="33"/>
        <v>0</v>
      </c>
      <c r="J128" s="504">
        <f t="shared" si="27"/>
        <v>0</v>
      </c>
      <c r="K128" s="504"/>
      <c r="L128" s="512"/>
      <c r="M128" s="504">
        <f t="shared" si="22"/>
        <v>0</v>
      </c>
      <c r="N128" s="512"/>
      <c r="O128" s="504">
        <f t="shared" si="24"/>
        <v>0</v>
      </c>
      <c r="P128" s="504">
        <f t="shared" si="25"/>
        <v>0</v>
      </c>
      <c r="Q128" s="243"/>
      <c r="R128" s="243"/>
      <c r="S128" s="243"/>
      <c r="T128" s="243"/>
      <c r="U128" s="243"/>
    </row>
    <row r="129" spans="2:21">
      <c r="B129" s="145" t="str">
        <f t="shared" si="20"/>
        <v/>
      </c>
      <c r="C129" s="495">
        <f>IF(D94="","-",+C128+1)</f>
        <v>2040</v>
      </c>
      <c r="D129" s="349">
        <f>IF(F128+SUM(E$100:E128)=D$93,F128,D$93-SUM(E$100:E128))</f>
        <v>0</v>
      </c>
      <c r="E129" s="509">
        <f>IF(+J97&lt;F128,J97,D129)</f>
        <v>0</v>
      </c>
      <c r="F129" s="510">
        <f t="shared" si="30"/>
        <v>0</v>
      </c>
      <c r="G129" s="510">
        <f t="shared" si="31"/>
        <v>0</v>
      </c>
      <c r="H129" s="523">
        <f t="shared" si="32"/>
        <v>0</v>
      </c>
      <c r="I129" s="572">
        <f t="shared" si="33"/>
        <v>0</v>
      </c>
      <c r="J129" s="504">
        <f t="shared" si="27"/>
        <v>0</v>
      </c>
      <c r="K129" s="504"/>
      <c r="L129" s="512"/>
      <c r="M129" s="504">
        <f t="shared" si="22"/>
        <v>0</v>
      </c>
      <c r="N129" s="512"/>
      <c r="O129" s="504">
        <f t="shared" si="24"/>
        <v>0</v>
      </c>
      <c r="P129" s="504">
        <f t="shared" si="25"/>
        <v>0</v>
      </c>
      <c r="Q129" s="243"/>
      <c r="R129" s="243"/>
      <c r="S129" s="243"/>
      <c r="T129" s="243"/>
      <c r="U129" s="243"/>
    </row>
    <row r="130" spans="2:21">
      <c r="B130" s="145" t="str">
        <f t="shared" si="20"/>
        <v/>
      </c>
      <c r="C130" s="495">
        <f>IF(D94="","-",+C129+1)</f>
        <v>2041</v>
      </c>
      <c r="D130" s="349">
        <f>IF(F129+SUM(E$100:E129)=D$93,F129,D$93-SUM(E$100:E129))</f>
        <v>0</v>
      </c>
      <c r="E130" s="509">
        <f>IF(+J97&lt;F129,J97,D130)</f>
        <v>0</v>
      </c>
      <c r="F130" s="510">
        <f t="shared" si="30"/>
        <v>0</v>
      </c>
      <c r="G130" s="510">
        <f t="shared" si="31"/>
        <v>0</v>
      </c>
      <c r="H130" s="523">
        <f t="shared" si="32"/>
        <v>0</v>
      </c>
      <c r="I130" s="572">
        <f t="shared" si="33"/>
        <v>0</v>
      </c>
      <c r="J130" s="504">
        <f t="shared" si="27"/>
        <v>0</v>
      </c>
      <c r="K130" s="504"/>
      <c r="L130" s="512"/>
      <c r="M130" s="504">
        <f t="shared" si="22"/>
        <v>0</v>
      </c>
      <c r="N130" s="512"/>
      <c r="O130" s="504">
        <f t="shared" si="24"/>
        <v>0</v>
      </c>
      <c r="P130" s="504">
        <f t="shared" si="25"/>
        <v>0</v>
      </c>
      <c r="Q130" s="243"/>
      <c r="R130" s="243"/>
      <c r="S130" s="243"/>
      <c r="T130" s="243"/>
      <c r="U130" s="243"/>
    </row>
    <row r="131" spans="2:21">
      <c r="B131" s="145" t="str">
        <f t="shared" si="20"/>
        <v/>
      </c>
      <c r="C131" s="495">
        <f>IF(D94="","-",+C130+1)</f>
        <v>2042</v>
      </c>
      <c r="D131" s="349">
        <f>IF(F130+SUM(E$100:E130)=D$93,F130,D$93-SUM(E$100:E130))</f>
        <v>0</v>
      </c>
      <c r="E131" s="509">
        <f>IF(+J97&lt;F130,J97,D131)</f>
        <v>0</v>
      </c>
      <c r="F131" s="510">
        <f t="shared" si="30"/>
        <v>0</v>
      </c>
      <c r="G131" s="510">
        <f t="shared" si="31"/>
        <v>0</v>
      </c>
      <c r="H131" s="523">
        <f t="shared" si="32"/>
        <v>0</v>
      </c>
      <c r="I131" s="572">
        <f t="shared" si="33"/>
        <v>0</v>
      </c>
      <c r="J131" s="504">
        <f t="shared" si="27"/>
        <v>0</v>
      </c>
      <c r="K131" s="504"/>
      <c r="L131" s="512"/>
      <c r="M131" s="504">
        <f t="shared" si="22"/>
        <v>0</v>
      </c>
      <c r="N131" s="512"/>
      <c r="O131" s="504">
        <f t="shared" si="24"/>
        <v>0</v>
      </c>
      <c r="P131" s="504">
        <f t="shared" si="25"/>
        <v>0</v>
      </c>
      <c r="Q131" s="243"/>
      <c r="R131" s="243"/>
      <c r="S131" s="243"/>
      <c r="T131" s="243"/>
      <c r="U131" s="243"/>
    </row>
    <row r="132" spans="2:21">
      <c r="B132" s="145" t="str">
        <f t="shared" ref="B132:B155" si="34">IF(D132=F131,"","IU")</f>
        <v/>
      </c>
      <c r="C132" s="495">
        <f>IF(D94="","-",+C131+1)</f>
        <v>2043</v>
      </c>
      <c r="D132" s="349">
        <f>IF(F131+SUM(E$100:E131)=D$93,F131,D$93-SUM(E$100:E131))</f>
        <v>0</v>
      </c>
      <c r="E132" s="509">
        <f>IF(+J97&lt;F131,J97,D132)</f>
        <v>0</v>
      </c>
      <c r="F132" s="510">
        <f t="shared" si="30"/>
        <v>0</v>
      </c>
      <c r="G132" s="510">
        <f t="shared" ref="G132:G155" si="35">+(F132+D132)/2</f>
        <v>0</v>
      </c>
      <c r="H132" s="523">
        <f t="shared" ref="H132:H155" si="36">+J$95*G132+E132</f>
        <v>0</v>
      </c>
      <c r="I132" s="572">
        <f t="shared" ref="I132:I155" si="37">+J$96*G132+E132</f>
        <v>0</v>
      </c>
      <c r="J132" s="504">
        <f t="shared" ref="J132:J155" si="38">+I132-H132</f>
        <v>0</v>
      </c>
      <c r="K132" s="504"/>
      <c r="L132" s="512"/>
      <c r="M132" s="504">
        <f t="shared" ref="M132:M155" si="39">IF(L132&lt;&gt;0,+H132-L132,0)</f>
        <v>0</v>
      </c>
      <c r="N132" s="512"/>
      <c r="O132" s="504">
        <f t="shared" ref="O132:O155" si="40">IF(N132&lt;&gt;0,+I132-N132,0)</f>
        <v>0</v>
      </c>
      <c r="P132" s="504">
        <f t="shared" ref="P132:P155" si="41">+O132-M132</f>
        <v>0</v>
      </c>
      <c r="Q132" s="243"/>
      <c r="R132" s="243"/>
      <c r="S132" s="243"/>
      <c r="T132" s="243"/>
      <c r="U132" s="243"/>
    </row>
    <row r="133" spans="2:21">
      <c r="B133" s="145" t="str">
        <f t="shared" si="34"/>
        <v/>
      </c>
      <c r="C133" s="495">
        <f>IF(D94="","-",+C132+1)</f>
        <v>2044</v>
      </c>
      <c r="D133" s="349">
        <f>IF(F132+SUM(E$100:E132)=D$93,F132,D$93-SUM(E$100:E132))</f>
        <v>0</v>
      </c>
      <c r="E133" s="509">
        <f>IF(+J97&lt;F132,J97,D133)</f>
        <v>0</v>
      </c>
      <c r="F133" s="510">
        <f t="shared" ref="F133:F155" si="42">+D133-E133</f>
        <v>0</v>
      </c>
      <c r="G133" s="510">
        <f t="shared" si="35"/>
        <v>0</v>
      </c>
      <c r="H133" s="523">
        <f t="shared" si="36"/>
        <v>0</v>
      </c>
      <c r="I133" s="572">
        <f t="shared" si="37"/>
        <v>0</v>
      </c>
      <c r="J133" s="504">
        <f t="shared" si="38"/>
        <v>0</v>
      </c>
      <c r="K133" s="504"/>
      <c r="L133" s="512"/>
      <c r="M133" s="504">
        <f t="shared" si="39"/>
        <v>0</v>
      </c>
      <c r="N133" s="512"/>
      <c r="O133" s="504">
        <f t="shared" si="40"/>
        <v>0</v>
      </c>
      <c r="P133" s="504">
        <f t="shared" si="41"/>
        <v>0</v>
      </c>
      <c r="Q133" s="243"/>
      <c r="R133" s="243"/>
      <c r="S133" s="243"/>
      <c r="T133" s="243"/>
      <c r="U133" s="243"/>
    </row>
    <row r="134" spans="2:21">
      <c r="B134" s="145" t="str">
        <f t="shared" si="34"/>
        <v/>
      </c>
      <c r="C134" s="495">
        <f>IF(D94="","-",+C133+1)</f>
        <v>2045</v>
      </c>
      <c r="D134" s="349">
        <f>IF(F133+SUM(E$100:E133)=D$93,F133,D$93-SUM(E$100:E133))</f>
        <v>0</v>
      </c>
      <c r="E134" s="509">
        <f>IF(+J97&lt;F133,J97,D134)</f>
        <v>0</v>
      </c>
      <c r="F134" s="510">
        <f t="shared" si="42"/>
        <v>0</v>
      </c>
      <c r="G134" s="510">
        <f t="shared" si="35"/>
        <v>0</v>
      </c>
      <c r="H134" s="523">
        <f t="shared" si="36"/>
        <v>0</v>
      </c>
      <c r="I134" s="572">
        <f t="shared" si="37"/>
        <v>0</v>
      </c>
      <c r="J134" s="504">
        <f t="shared" si="38"/>
        <v>0</v>
      </c>
      <c r="K134" s="504"/>
      <c r="L134" s="512"/>
      <c r="M134" s="504">
        <f t="shared" si="39"/>
        <v>0</v>
      </c>
      <c r="N134" s="512"/>
      <c r="O134" s="504">
        <f t="shared" si="40"/>
        <v>0</v>
      </c>
      <c r="P134" s="504">
        <f t="shared" si="41"/>
        <v>0</v>
      </c>
      <c r="Q134" s="243"/>
      <c r="R134" s="243"/>
      <c r="S134" s="243"/>
      <c r="T134" s="243"/>
      <c r="U134" s="243"/>
    </row>
    <row r="135" spans="2:21">
      <c r="B135" s="145" t="str">
        <f t="shared" si="34"/>
        <v/>
      </c>
      <c r="C135" s="495">
        <f>IF(D94="","-",+C134+1)</f>
        <v>2046</v>
      </c>
      <c r="D135" s="349">
        <f>IF(F134+SUM(E$100:E134)=D$93,F134,D$93-SUM(E$100:E134))</f>
        <v>0</v>
      </c>
      <c r="E135" s="509">
        <f>IF(+J97&lt;F134,J97,D135)</f>
        <v>0</v>
      </c>
      <c r="F135" s="510">
        <f t="shared" si="42"/>
        <v>0</v>
      </c>
      <c r="G135" s="510">
        <f t="shared" si="35"/>
        <v>0</v>
      </c>
      <c r="H135" s="523">
        <f t="shared" si="36"/>
        <v>0</v>
      </c>
      <c r="I135" s="572">
        <f t="shared" si="37"/>
        <v>0</v>
      </c>
      <c r="J135" s="504">
        <f t="shared" si="38"/>
        <v>0</v>
      </c>
      <c r="K135" s="504"/>
      <c r="L135" s="512"/>
      <c r="M135" s="504">
        <f t="shared" si="39"/>
        <v>0</v>
      </c>
      <c r="N135" s="512"/>
      <c r="O135" s="504">
        <f t="shared" si="40"/>
        <v>0</v>
      </c>
      <c r="P135" s="504">
        <f t="shared" si="41"/>
        <v>0</v>
      </c>
      <c r="Q135" s="243"/>
      <c r="R135" s="243"/>
      <c r="S135" s="243"/>
      <c r="T135" s="243"/>
      <c r="U135" s="243"/>
    </row>
    <row r="136" spans="2:21">
      <c r="B136" s="145" t="str">
        <f t="shared" si="34"/>
        <v/>
      </c>
      <c r="C136" s="495">
        <f>IF(D94="","-",+C135+1)</f>
        <v>2047</v>
      </c>
      <c r="D136" s="349">
        <f>IF(F135+SUM(E$100:E135)=D$93,F135,D$93-SUM(E$100:E135))</f>
        <v>0</v>
      </c>
      <c r="E136" s="509">
        <f>IF(+J97&lt;F135,J97,D136)</f>
        <v>0</v>
      </c>
      <c r="F136" s="510">
        <f t="shared" si="42"/>
        <v>0</v>
      </c>
      <c r="G136" s="510">
        <f t="shared" si="35"/>
        <v>0</v>
      </c>
      <c r="H136" s="523">
        <f t="shared" si="36"/>
        <v>0</v>
      </c>
      <c r="I136" s="572">
        <f t="shared" si="37"/>
        <v>0</v>
      </c>
      <c r="J136" s="504">
        <f t="shared" si="38"/>
        <v>0</v>
      </c>
      <c r="K136" s="504"/>
      <c r="L136" s="512"/>
      <c r="M136" s="504">
        <f t="shared" si="39"/>
        <v>0</v>
      </c>
      <c r="N136" s="512"/>
      <c r="O136" s="504">
        <f t="shared" si="40"/>
        <v>0</v>
      </c>
      <c r="P136" s="504">
        <f t="shared" si="41"/>
        <v>0</v>
      </c>
      <c r="Q136" s="243"/>
      <c r="R136" s="243"/>
      <c r="S136" s="243"/>
      <c r="T136" s="243"/>
      <c r="U136" s="243"/>
    </row>
    <row r="137" spans="2:21">
      <c r="B137" s="145" t="str">
        <f t="shared" si="34"/>
        <v/>
      </c>
      <c r="C137" s="495">
        <f>IF(D94="","-",+C136+1)</f>
        <v>2048</v>
      </c>
      <c r="D137" s="349">
        <f>IF(F136+SUM(E$100:E136)=D$93,F136,D$93-SUM(E$100:E136))</f>
        <v>0</v>
      </c>
      <c r="E137" s="509">
        <f>IF(+J97&lt;F136,J97,D137)</f>
        <v>0</v>
      </c>
      <c r="F137" s="510">
        <f t="shared" si="42"/>
        <v>0</v>
      </c>
      <c r="G137" s="510">
        <f t="shared" si="35"/>
        <v>0</v>
      </c>
      <c r="H137" s="523">
        <f t="shared" si="36"/>
        <v>0</v>
      </c>
      <c r="I137" s="572">
        <f t="shared" si="37"/>
        <v>0</v>
      </c>
      <c r="J137" s="504">
        <f t="shared" si="38"/>
        <v>0</v>
      </c>
      <c r="K137" s="504"/>
      <c r="L137" s="512"/>
      <c r="M137" s="504">
        <f t="shared" si="39"/>
        <v>0</v>
      </c>
      <c r="N137" s="512"/>
      <c r="O137" s="504">
        <f t="shared" si="40"/>
        <v>0</v>
      </c>
      <c r="P137" s="504">
        <f t="shared" si="41"/>
        <v>0</v>
      </c>
      <c r="Q137" s="243"/>
      <c r="R137" s="243"/>
      <c r="S137" s="243"/>
      <c r="T137" s="243"/>
      <c r="U137" s="243"/>
    </row>
    <row r="138" spans="2:21">
      <c r="B138" s="145" t="str">
        <f t="shared" si="34"/>
        <v/>
      </c>
      <c r="C138" s="495">
        <f>IF(D94="","-",+C137+1)</f>
        <v>2049</v>
      </c>
      <c r="D138" s="349">
        <f>IF(F137+SUM(E$100:E137)=D$93,F137,D$93-SUM(E$100:E137))</f>
        <v>0</v>
      </c>
      <c r="E138" s="509">
        <f>IF(+J97&lt;F137,J97,D138)</f>
        <v>0</v>
      </c>
      <c r="F138" s="510">
        <f t="shared" si="42"/>
        <v>0</v>
      </c>
      <c r="G138" s="510">
        <f t="shared" si="35"/>
        <v>0</v>
      </c>
      <c r="H138" s="523">
        <f t="shared" si="36"/>
        <v>0</v>
      </c>
      <c r="I138" s="572">
        <f t="shared" si="37"/>
        <v>0</v>
      </c>
      <c r="J138" s="504">
        <f t="shared" si="38"/>
        <v>0</v>
      </c>
      <c r="K138" s="504"/>
      <c r="L138" s="512"/>
      <c r="M138" s="504">
        <f t="shared" si="39"/>
        <v>0</v>
      </c>
      <c r="N138" s="512"/>
      <c r="O138" s="504">
        <f t="shared" si="40"/>
        <v>0</v>
      </c>
      <c r="P138" s="504">
        <f t="shared" si="41"/>
        <v>0</v>
      </c>
      <c r="Q138" s="243"/>
      <c r="R138" s="243"/>
      <c r="S138" s="243"/>
      <c r="T138" s="243"/>
      <c r="U138" s="243"/>
    </row>
    <row r="139" spans="2:21">
      <c r="B139" s="145" t="str">
        <f t="shared" si="34"/>
        <v/>
      </c>
      <c r="C139" s="495">
        <f>IF(D94="","-",+C138+1)</f>
        <v>2050</v>
      </c>
      <c r="D139" s="349">
        <f>IF(F138+SUM(E$100:E138)=D$93,F138,D$93-SUM(E$100:E138))</f>
        <v>0</v>
      </c>
      <c r="E139" s="509">
        <f>IF(+J97&lt;F138,J97,D139)</f>
        <v>0</v>
      </c>
      <c r="F139" s="510">
        <f t="shared" si="42"/>
        <v>0</v>
      </c>
      <c r="G139" s="510">
        <f t="shared" si="35"/>
        <v>0</v>
      </c>
      <c r="H139" s="523">
        <f t="shared" si="36"/>
        <v>0</v>
      </c>
      <c r="I139" s="572">
        <f t="shared" si="37"/>
        <v>0</v>
      </c>
      <c r="J139" s="504">
        <f t="shared" si="38"/>
        <v>0</v>
      </c>
      <c r="K139" s="504"/>
      <c r="L139" s="512"/>
      <c r="M139" s="504">
        <f t="shared" si="39"/>
        <v>0</v>
      </c>
      <c r="N139" s="512"/>
      <c r="O139" s="504">
        <f t="shared" si="40"/>
        <v>0</v>
      </c>
      <c r="P139" s="504">
        <f t="shared" si="41"/>
        <v>0</v>
      </c>
      <c r="Q139" s="243"/>
      <c r="R139" s="243"/>
      <c r="S139" s="243"/>
      <c r="T139" s="243"/>
      <c r="U139" s="243"/>
    </row>
    <row r="140" spans="2:21">
      <c r="B140" s="145" t="str">
        <f t="shared" si="34"/>
        <v/>
      </c>
      <c r="C140" s="495">
        <f>IF(D94="","-",+C139+1)</f>
        <v>2051</v>
      </c>
      <c r="D140" s="349">
        <f>IF(F139+SUM(E$100:E139)=D$93,F139,D$93-SUM(E$100:E139))</f>
        <v>0</v>
      </c>
      <c r="E140" s="509">
        <f>IF(+J97&lt;F139,J97,D140)</f>
        <v>0</v>
      </c>
      <c r="F140" s="510">
        <f t="shared" si="42"/>
        <v>0</v>
      </c>
      <c r="G140" s="510">
        <f t="shared" si="35"/>
        <v>0</v>
      </c>
      <c r="H140" s="523">
        <f t="shared" si="36"/>
        <v>0</v>
      </c>
      <c r="I140" s="572">
        <f t="shared" si="37"/>
        <v>0</v>
      </c>
      <c r="J140" s="504">
        <f t="shared" si="38"/>
        <v>0</v>
      </c>
      <c r="K140" s="504"/>
      <c r="L140" s="512"/>
      <c r="M140" s="504">
        <f t="shared" si="39"/>
        <v>0</v>
      </c>
      <c r="N140" s="512"/>
      <c r="O140" s="504">
        <f t="shared" si="40"/>
        <v>0</v>
      </c>
      <c r="P140" s="504">
        <f t="shared" si="41"/>
        <v>0</v>
      </c>
      <c r="Q140" s="243"/>
      <c r="R140" s="243"/>
      <c r="S140" s="243"/>
      <c r="T140" s="243"/>
      <c r="U140" s="243"/>
    </row>
    <row r="141" spans="2:21">
      <c r="B141" s="145" t="str">
        <f t="shared" si="34"/>
        <v/>
      </c>
      <c r="C141" s="495">
        <f>IF(D94="","-",+C140+1)</f>
        <v>2052</v>
      </c>
      <c r="D141" s="349">
        <f>IF(F140+SUM(E$100:E140)=D$93,F140,D$93-SUM(E$100:E140))</f>
        <v>0</v>
      </c>
      <c r="E141" s="509">
        <f>IF(+J97&lt;F140,J97,D141)</f>
        <v>0</v>
      </c>
      <c r="F141" s="510">
        <f t="shared" si="42"/>
        <v>0</v>
      </c>
      <c r="G141" s="510">
        <f t="shared" si="35"/>
        <v>0</v>
      </c>
      <c r="H141" s="523">
        <f t="shared" si="36"/>
        <v>0</v>
      </c>
      <c r="I141" s="572">
        <f t="shared" si="37"/>
        <v>0</v>
      </c>
      <c r="J141" s="504">
        <f t="shared" si="38"/>
        <v>0</v>
      </c>
      <c r="K141" s="504"/>
      <c r="L141" s="512"/>
      <c r="M141" s="504">
        <f t="shared" si="39"/>
        <v>0</v>
      </c>
      <c r="N141" s="512"/>
      <c r="O141" s="504">
        <f t="shared" si="40"/>
        <v>0</v>
      </c>
      <c r="P141" s="504">
        <f t="shared" si="41"/>
        <v>0</v>
      </c>
      <c r="Q141" s="243"/>
      <c r="R141" s="243"/>
      <c r="S141" s="243"/>
      <c r="T141" s="243"/>
      <c r="U141" s="243"/>
    </row>
    <row r="142" spans="2:21">
      <c r="B142" s="145" t="str">
        <f t="shared" si="34"/>
        <v/>
      </c>
      <c r="C142" s="495">
        <f>IF(D94="","-",+C141+1)</f>
        <v>2053</v>
      </c>
      <c r="D142" s="349">
        <f>IF(F141+SUM(E$100:E141)=D$93,F141,D$93-SUM(E$100:E141))</f>
        <v>0</v>
      </c>
      <c r="E142" s="509">
        <f>IF(+J97&lt;F141,J97,D142)</f>
        <v>0</v>
      </c>
      <c r="F142" s="510">
        <f t="shared" si="42"/>
        <v>0</v>
      </c>
      <c r="G142" s="510">
        <f t="shared" si="35"/>
        <v>0</v>
      </c>
      <c r="H142" s="523">
        <f t="shared" si="36"/>
        <v>0</v>
      </c>
      <c r="I142" s="572">
        <f t="shared" si="37"/>
        <v>0</v>
      </c>
      <c r="J142" s="504">
        <f t="shared" si="38"/>
        <v>0</v>
      </c>
      <c r="K142" s="504"/>
      <c r="L142" s="512"/>
      <c r="M142" s="504">
        <f t="shared" si="39"/>
        <v>0</v>
      </c>
      <c r="N142" s="512"/>
      <c r="O142" s="504">
        <f t="shared" si="40"/>
        <v>0</v>
      </c>
      <c r="P142" s="504">
        <f t="shared" si="41"/>
        <v>0</v>
      </c>
      <c r="Q142" s="243"/>
      <c r="R142" s="243"/>
      <c r="S142" s="243"/>
      <c r="T142" s="243"/>
      <c r="U142" s="243"/>
    </row>
    <row r="143" spans="2:21">
      <c r="B143" s="145" t="str">
        <f t="shared" si="34"/>
        <v/>
      </c>
      <c r="C143" s="495">
        <f>IF(D94="","-",+C142+1)</f>
        <v>2054</v>
      </c>
      <c r="D143" s="349">
        <f>IF(F142+SUM(E$100:E142)=D$93,F142,D$93-SUM(E$100:E142))</f>
        <v>0</v>
      </c>
      <c r="E143" s="509">
        <f>IF(+J97&lt;F142,J97,D143)</f>
        <v>0</v>
      </c>
      <c r="F143" s="510">
        <f t="shared" si="42"/>
        <v>0</v>
      </c>
      <c r="G143" s="510">
        <f t="shared" si="35"/>
        <v>0</v>
      </c>
      <c r="H143" s="523">
        <f t="shared" si="36"/>
        <v>0</v>
      </c>
      <c r="I143" s="572">
        <f t="shared" si="37"/>
        <v>0</v>
      </c>
      <c r="J143" s="504">
        <f t="shared" si="38"/>
        <v>0</v>
      </c>
      <c r="K143" s="504"/>
      <c r="L143" s="512"/>
      <c r="M143" s="504">
        <f t="shared" si="39"/>
        <v>0</v>
      </c>
      <c r="N143" s="512"/>
      <c r="O143" s="504">
        <f t="shared" si="40"/>
        <v>0</v>
      </c>
      <c r="P143" s="504">
        <f t="shared" si="41"/>
        <v>0</v>
      </c>
      <c r="Q143" s="243"/>
      <c r="R143" s="243"/>
      <c r="S143" s="243"/>
      <c r="T143" s="243"/>
      <c r="U143" s="243"/>
    </row>
    <row r="144" spans="2:21">
      <c r="B144" s="145" t="str">
        <f t="shared" si="34"/>
        <v/>
      </c>
      <c r="C144" s="495">
        <f>IF(D94="","-",+C143+1)</f>
        <v>2055</v>
      </c>
      <c r="D144" s="349">
        <f>IF(F143+SUM(E$100:E143)=D$93,F143,D$93-SUM(E$100:E143))</f>
        <v>0</v>
      </c>
      <c r="E144" s="509">
        <f>IF(+J97&lt;F143,J97,D144)</f>
        <v>0</v>
      </c>
      <c r="F144" s="510">
        <f t="shared" si="42"/>
        <v>0</v>
      </c>
      <c r="G144" s="510">
        <f t="shared" si="35"/>
        <v>0</v>
      </c>
      <c r="H144" s="523">
        <f t="shared" si="36"/>
        <v>0</v>
      </c>
      <c r="I144" s="572">
        <f t="shared" si="37"/>
        <v>0</v>
      </c>
      <c r="J144" s="504">
        <f t="shared" si="38"/>
        <v>0</v>
      </c>
      <c r="K144" s="504"/>
      <c r="L144" s="512"/>
      <c r="M144" s="504">
        <f t="shared" si="39"/>
        <v>0</v>
      </c>
      <c r="N144" s="512"/>
      <c r="O144" s="504">
        <f t="shared" si="40"/>
        <v>0</v>
      </c>
      <c r="P144" s="504">
        <f t="shared" si="41"/>
        <v>0</v>
      </c>
      <c r="Q144" s="243"/>
      <c r="R144" s="243"/>
      <c r="S144" s="243"/>
      <c r="T144" s="243"/>
      <c r="U144" s="243"/>
    </row>
    <row r="145" spans="2:21">
      <c r="B145" s="145" t="str">
        <f t="shared" si="34"/>
        <v/>
      </c>
      <c r="C145" s="495">
        <f>IF(D94="","-",+C144+1)</f>
        <v>2056</v>
      </c>
      <c r="D145" s="349">
        <f>IF(F144+SUM(E$100:E144)=D$93,F144,D$93-SUM(E$100:E144))</f>
        <v>0</v>
      </c>
      <c r="E145" s="509">
        <f>IF(+J97&lt;F144,J97,D145)</f>
        <v>0</v>
      </c>
      <c r="F145" s="510">
        <f t="shared" si="42"/>
        <v>0</v>
      </c>
      <c r="G145" s="510">
        <f t="shared" si="35"/>
        <v>0</v>
      </c>
      <c r="H145" s="523">
        <f t="shared" si="36"/>
        <v>0</v>
      </c>
      <c r="I145" s="572">
        <f t="shared" si="37"/>
        <v>0</v>
      </c>
      <c r="J145" s="504">
        <f t="shared" si="38"/>
        <v>0</v>
      </c>
      <c r="K145" s="504"/>
      <c r="L145" s="512"/>
      <c r="M145" s="504">
        <f t="shared" si="39"/>
        <v>0</v>
      </c>
      <c r="N145" s="512"/>
      <c r="O145" s="504">
        <f t="shared" si="40"/>
        <v>0</v>
      </c>
      <c r="P145" s="504">
        <f t="shared" si="41"/>
        <v>0</v>
      </c>
      <c r="Q145" s="243"/>
      <c r="R145" s="243"/>
      <c r="S145" s="243"/>
      <c r="T145" s="243"/>
      <c r="U145" s="243"/>
    </row>
    <row r="146" spans="2:21">
      <c r="B146" s="145" t="str">
        <f t="shared" si="34"/>
        <v/>
      </c>
      <c r="C146" s="495">
        <f>IF(D94="","-",+C145+1)</f>
        <v>2057</v>
      </c>
      <c r="D146" s="349">
        <f>IF(F145+SUM(E$100:E145)=D$93,F145,D$93-SUM(E$100:E145))</f>
        <v>0</v>
      </c>
      <c r="E146" s="509">
        <f>IF(+J97&lt;F145,J97,D146)</f>
        <v>0</v>
      </c>
      <c r="F146" s="510">
        <f t="shared" si="42"/>
        <v>0</v>
      </c>
      <c r="G146" s="510">
        <f t="shared" si="35"/>
        <v>0</v>
      </c>
      <c r="H146" s="523">
        <f t="shared" si="36"/>
        <v>0</v>
      </c>
      <c r="I146" s="572">
        <f t="shared" si="37"/>
        <v>0</v>
      </c>
      <c r="J146" s="504">
        <f t="shared" si="38"/>
        <v>0</v>
      </c>
      <c r="K146" s="504"/>
      <c r="L146" s="512"/>
      <c r="M146" s="504">
        <f t="shared" si="39"/>
        <v>0</v>
      </c>
      <c r="N146" s="512"/>
      <c r="O146" s="504">
        <f t="shared" si="40"/>
        <v>0</v>
      </c>
      <c r="P146" s="504">
        <f t="shared" si="41"/>
        <v>0</v>
      </c>
      <c r="Q146" s="243"/>
      <c r="R146" s="243"/>
      <c r="S146" s="243"/>
      <c r="T146" s="243"/>
      <c r="U146" s="243"/>
    </row>
    <row r="147" spans="2:21">
      <c r="B147" s="145" t="str">
        <f t="shared" si="34"/>
        <v/>
      </c>
      <c r="C147" s="495">
        <f>IF(D94="","-",+C146+1)</f>
        <v>2058</v>
      </c>
      <c r="D147" s="349">
        <f>IF(F146+SUM(E$100:E146)=D$93,F146,D$93-SUM(E$100:E146))</f>
        <v>0</v>
      </c>
      <c r="E147" s="509">
        <f>IF(+J97&lt;F146,J97,D147)</f>
        <v>0</v>
      </c>
      <c r="F147" s="510">
        <f t="shared" si="42"/>
        <v>0</v>
      </c>
      <c r="G147" s="510">
        <f t="shared" si="35"/>
        <v>0</v>
      </c>
      <c r="H147" s="523">
        <f t="shared" si="36"/>
        <v>0</v>
      </c>
      <c r="I147" s="572">
        <f t="shared" si="37"/>
        <v>0</v>
      </c>
      <c r="J147" s="504">
        <f t="shared" si="38"/>
        <v>0</v>
      </c>
      <c r="K147" s="504"/>
      <c r="L147" s="512"/>
      <c r="M147" s="504">
        <f t="shared" si="39"/>
        <v>0</v>
      </c>
      <c r="N147" s="512"/>
      <c r="O147" s="504">
        <f t="shared" si="40"/>
        <v>0</v>
      </c>
      <c r="P147" s="504">
        <f t="shared" si="41"/>
        <v>0</v>
      </c>
      <c r="Q147" s="243"/>
      <c r="R147" s="243"/>
      <c r="S147" s="243"/>
      <c r="T147" s="243"/>
      <c r="U147" s="243"/>
    </row>
    <row r="148" spans="2:21">
      <c r="B148" s="145" t="str">
        <f t="shared" si="34"/>
        <v/>
      </c>
      <c r="C148" s="495">
        <f>IF(D94="","-",+C147+1)</f>
        <v>2059</v>
      </c>
      <c r="D148" s="349">
        <f>IF(F147+SUM(E$100:E147)=D$93,F147,D$93-SUM(E$100:E147))</f>
        <v>0</v>
      </c>
      <c r="E148" s="509">
        <f>IF(+J97&lt;F147,J97,D148)</f>
        <v>0</v>
      </c>
      <c r="F148" s="510">
        <f t="shared" si="42"/>
        <v>0</v>
      </c>
      <c r="G148" s="510">
        <f t="shared" si="35"/>
        <v>0</v>
      </c>
      <c r="H148" s="523">
        <f t="shared" si="36"/>
        <v>0</v>
      </c>
      <c r="I148" s="572">
        <f t="shared" si="37"/>
        <v>0</v>
      </c>
      <c r="J148" s="504">
        <f t="shared" si="38"/>
        <v>0</v>
      </c>
      <c r="K148" s="504"/>
      <c r="L148" s="512"/>
      <c r="M148" s="504">
        <f t="shared" si="39"/>
        <v>0</v>
      </c>
      <c r="N148" s="512"/>
      <c r="O148" s="504">
        <f t="shared" si="40"/>
        <v>0</v>
      </c>
      <c r="P148" s="504">
        <f t="shared" si="41"/>
        <v>0</v>
      </c>
      <c r="Q148" s="243"/>
      <c r="R148" s="243"/>
      <c r="S148" s="243"/>
      <c r="T148" s="243"/>
      <c r="U148" s="243"/>
    </row>
    <row r="149" spans="2:21">
      <c r="B149" s="145" t="str">
        <f t="shared" si="34"/>
        <v/>
      </c>
      <c r="C149" s="495">
        <f>IF(D94="","-",+C148+1)</f>
        <v>2060</v>
      </c>
      <c r="D149" s="349">
        <f>IF(F148+SUM(E$100:E148)=D$93,F148,D$93-SUM(E$100:E148))</f>
        <v>0</v>
      </c>
      <c r="E149" s="509">
        <f>IF(+J97&lt;F148,J97,D149)</f>
        <v>0</v>
      </c>
      <c r="F149" s="510">
        <f t="shared" si="42"/>
        <v>0</v>
      </c>
      <c r="G149" s="510">
        <f t="shared" si="35"/>
        <v>0</v>
      </c>
      <c r="H149" s="523">
        <f t="shared" si="36"/>
        <v>0</v>
      </c>
      <c r="I149" s="572">
        <f t="shared" si="37"/>
        <v>0</v>
      </c>
      <c r="J149" s="504">
        <f t="shared" si="38"/>
        <v>0</v>
      </c>
      <c r="K149" s="504"/>
      <c r="L149" s="512"/>
      <c r="M149" s="504">
        <f t="shared" si="39"/>
        <v>0</v>
      </c>
      <c r="N149" s="512"/>
      <c r="O149" s="504">
        <f t="shared" si="40"/>
        <v>0</v>
      </c>
      <c r="P149" s="504">
        <f t="shared" si="41"/>
        <v>0</v>
      </c>
      <c r="Q149" s="243"/>
      <c r="R149" s="243"/>
      <c r="S149" s="243"/>
      <c r="T149" s="243"/>
      <c r="U149" s="243"/>
    </row>
    <row r="150" spans="2:21">
      <c r="B150" s="145" t="str">
        <f t="shared" si="34"/>
        <v/>
      </c>
      <c r="C150" s="495">
        <f>IF(D94="","-",+C149+1)</f>
        <v>2061</v>
      </c>
      <c r="D150" s="349">
        <f>IF(F149+SUM(E$100:E149)=D$93,F149,D$93-SUM(E$100:E149))</f>
        <v>0</v>
      </c>
      <c r="E150" s="509">
        <f>IF(+J97&lt;F149,J97,D150)</f>
        <v>0</v>
      </c>
      <c r="F150" s="510">
        <f t="shared" si="42"/>
        <v>0</v>
      </c>
      <c r="G150" s="510">
        <f t="shared" si="35"/>
        <v>0</v>
      </c>
      <c r="H150" s="523">
        <f t="shared" si="36"/>
        <v>0</v>
      </c>
      <c r="I150" s="572">
        <f t="shared" si="37"/>
        <v>0</v>
      </c>
      <c r="J150" s="504">
        <f t="shared" si="38"/>
        <v>0</v>
      </c>
      <c r="K150" s="504"/>
      <c r="L150" s="512"/>
      <c r="M150" s="504">
        <f t="shared" si="39"/>
        <v>0</v>
      </c>
      <c r="N150" s="512"/>
      <c r="O150" s="504">
        <f t="shared" si="40"/>
        <v>0</v>
      </c>
      <c r="P150" s="504">
        <f t="shared" si="41"/>
        <v>0</v>
      </c>
      <c r="Q150" s="243"/>
      <c r="R150" s="243"/>
      <c r="S150" s="243"/>
      <c r="T150" s="243"/>
      <c r="U150" s="243"/>
    </row>
    <row r="151" spans="2:21">
      <c r="B151" s="145" t="str">
        <f t="shared" si="34"/>
        <v/>
      </c>
      <c r="C151" s="495">
        <f>IF(D94="","-",+C150+1)</f>
        <v>2062</v>
      </c>
      <c r="D151" s="349">
        <f>IF(F150+SUM(E$100:E150)=D$93,F150,D$93-SUM(E$100:E150))</f>
        <v>0</v>
      </c>
      <c r="E151" s="509">
        <f>IF(+J97&lt;F150,J97,D151)</f>
        <v>0</v>
      </c>
      <c r="F151" s="510">
        <f t="shared" si="42"/>
        <v>0</v>
      </c>
      <c r="G151" s="510">
        <f t="shared" si="35"/>
        <v>0</v>
      </c>
      <c r="H151" s="523">
        <f t="shared" si="36"/>
        <v>0</v>
      </c>
      <c r="I151" s="572">
        <f t="shared" si="37"/>
        <v>0</v>
      </c>
      <c r="J151" s="504">
        <f t="shared" si="38"/>
        <v>0</v>
      </c>
      <c r="K151" s="504"/>
      <c r="L151" s="512"/>
      <c r="M151" s="504">
        <f t="shared" si="39"/>
        <v>0</v>
      </c>
      <c r="N151" s="512"/>
      <c r="O151" s="504">
        <f t="shared" si="40"/>
        <v>0</v>
      </c>
      <c r="P151" s="504">
        <f t="shared" si="41"/>
        <v>0</v>
      </c>
      <c r="Q151" s="243"/>
      <c r="R151" s="243"/>
      <c r="S151" s="243"/>
      <c r="T151" s="243"/>
      <c r="U151" s="243"/>
    </row>
    <row r="152" spans="2:21">
      <c r="B152" s="145" t="str">
        <f t="shared" si="34"/>
        <v/>
      </c>
      <c r="C152" s="495">
        <f>IF(D94="","-",+C151+1)</f>
        <v>2063</v>
      </c>
      <c r="D152" s="349">
        <f>IF(F151+SUM(E$100:E151)=D$93,F151,D$93-SUM(E$100:E151))</f>
        <v>0</v>
      </c>
      <c r="E152" s="509">
        <f>IF(+J97&lt;F151,J97,D152)</f>
        <v>0</v>
      </c>
      <c r="F152" s="510">
        <f t="shared" si="42"/>
        <v>0</v>
      </c>
      <c r="G152" s="510">
        <f t="shared" si="35"/>
        <v>0</v>
      </c>
      <c r="H152" s="523">
        <f t="shared" si="36"/>
        <v>0</v>
      </c>
      <c r="I152" s="572">
        <f t="shared" si="37"/>
        <v>0</v>
      </c>
      <c r="J152" s="504">
        <f t="shared" si="38"/>
        <v>0</v>
      </c>
      <c r="K152" s="504"/>
      <c r="L152" s="512"/>
      <c r="M152" s="504">
        <f t="shared" si="39"/>
        <v>0</v>
      </c>
      <c r="N152" s="512"/>
      <c r="O152" s="504">
        <f t="shared" si="40"/>
        <v>0</v>
      </c>
      <c r="P152" s="504">
        <f t="shared" si="41"/>
        <v>0</v>
      </c>
      <c r="Q152" s="243"/>
      <c r="R152" s="243"/>
      <c r="S152" s="243"/>
      <c r="T152" s="243"/>
      <c r="U152" s="243"/>
    </row>
    <row r="153" spans="2:21">
      <c r="B153" s="145" t="str">
        <f t="shared" si="34"/>
        <v/>
      </c>
      <c r="C153" s="495">
        <f>IF(D94="","-",+C152+1)</f>
        <v>2064</v>
      </c>
      <c r="D153" s="349">
        <f>IF(F152+SUM(E$100:E152)=D$93,F152,D$93-SUM(E$100:E152))</f>
        <v>0</v>
      </c>
      <c r="E153" s="509">
        <f>IF(+J97&lt;F152,J97,D153)</f>
        <v>0</v>
      </c>
      <c r="F153" s="510">
        <f t="shared" si="42"/>
        <v>0</v>
      </c>
      <c r="G153" s="510">
        <f t="shared" si="35"/>
        <v>0</v>
      </c>
      <c r="H153" s="523">
        <f t="shared" si="36"/>
        <v>0</v>
      </c>
      <c r="I153" s="572">
        <f t="shared" si="37"/>
        <v>0</v>
      </c>
      <c r="J153" s="504">
        <f t="shared" si="38"/>
        <v>0</v>
      </c>
      <c r="K153" s="504"/>
      <c r="L153" s="512"/>
      <c r="M153" s="504">
        <f t="shared" si="39"/>
        <v>0</v>
      </c>
      <c r="N153" s="512"/>
      <c r="O153" s="504">
        <f t="shared" si="40"/>
        <v>0</v>
      </c>
      <c r="P153" s="504">
        <f t="shared" si="41"/>
        <v>0</v>
      </c>
      <c r="Q153" s="243"/>
      <c r="R153" s="243"/>
      <c r="S153" s="243"/>
      <c r="T153" s="243"/>
      <c r="U153" s="243"/>
    </row>
    <row r="154" spans="2:21">
      <c r="B154" s="145" t="str">
        <f t="shared" si="34"/>
        <v/>
      </c>
      <c r="C154" s="495">
        <f>IF(D94="","-",+C153+1)</f>
        <v>2065</v>
      </c>
      <c r="D154" s="349">
        <f>IF(F153+SUM(E$100:E153)=D$93,F153,D$93-SUM(E$100:E153))</f>
        <v>0</v>
      </c>
      <c r="E154" s="509">
        <f>IF(+J97&lt;F153,J97,D154)</f>
        <v>0</v>
      </c>
      <c r="F154" s="510">
        <f t="shared" si="42"/>
        <v>0</v>
      </c>
      <c r="G154" s="510">
        <f t="shared" si="35"/>
        <v>0</v>
      </c>
      <c r="H154" s="523">
        <f t="shared" si="36"/>
        <v>0</v>
      </c>
      <c r="I154" s="572">
        <f t="shared" si="37"/>
        <v>0</v>
      </c>
      <c r="J154" s="504">
        <f t="shared" si="38"/>
        <v>0</v>
      </c>
      <c r="K154" s="504"/>
      <c r="L154" s="512"/>
      <c r="M154" s="504">
        <f t="shared" si="39"/>
        <v>0</v>
      </c>
      <c r="N154" s="512"/>
      <c r="O154" s="504">
        <f t="shared" si="40"/>
        <v>0</v>
      </c>
      <c r="P154" s="504">
        <f t="shared" si="41"/>
        <v>0</v>
      </c>
      <c r="Q154" s="243"/>
      <c r="R154" s="243"/>
      <c r="S154" s="243"/>
      <c r="T154" s="243"/>
      <c r="U154" s="243"/>
    </row>
    <row r="155" spans="2:21" ht="13.5" thickBot="1">
      <c r="B155" s="145" t="str">
        <f t="shared" si="34"/>
        <v/>
      </c>
      <c r="C155" s="524">
        <f>IF(D94="","-",+C154+1)</f>
        <v>2066</v>
      </c>
      <c r="D155" s="527">
        <f>IF(F154+SUM(E$100:E154)=D$93,F154,D$93-SUM(E$100:E154))</f>
        <v>0</v>
      </c>
      <c r="E155" s="526">
        <f>IF(+J97&lt;F154,J97,D155)</f>
        <v>0</v>
      </c>
      <c r="F155" s="527">
        <f t="shared" si="42"/>
        <v>0</v>
      </c>
      <c r="G155" s="527">
        <f t="shared" si="35"/>
        <v>0</v>
      </c>
      <c r="H155" s="528">
        <f t="shared" si="36"/>
        <v>0</v>
      </c>
      <c r="I155" s="573">
        <f t="shared" si="37"/>
        <v>0</v>
      </c>
      <c r="J155" s="531">
        <f t="shared" si="38"/>
        <v>0</v>
      </c>
      <c r="K155" s="504"/>
      <c r="L155" s="530"/>
      <c r="M155" s="531">
        <f t="shared" si="39"/>
        <v>0</v>
      </c>
      <c r="N155" s="530"/>
      <c r="O155" s="531">
        <f t="shared" si="40"/>
        <v>0</v>
      </c>
      <c r="P155" s="531">
        <f t="shared" si="41"/>
        <v>0</v>
      </c>
      <c r="Q155" s="243"/>
      <c r="R155" s="243"/>
      <c r="S155" s="243"/>
      <c r="T155" s="243"/>
      <c r="U155" s="243"/>
    </row>
    <row r="156" spans="2:21">
      <c r="C156" s="349" t="s">
        <v>75</v>
      </c>
      <c r="D156" s="294"/>
      <c r="E156" s="294">
        <f>SUM(E100:E155)</f>
        <v>614753.00000000023</v>
      </c>
      <c r="F156" s="294"/>
      <c r="G156" s="294"/>
      <c r="H156" s="294">
        <f>SUM(H100:H155)</f>
        <v>1643931.3303036722</v>
      </c>
      <c r="I156" s="294">
        <f>SUM(I100:I155)</f>
        <v>1643931.3303036722</v>
      </c>
      <c r="J156" s="294">
        <f>SUM(J100:J155)</f>
        <v>0</v>
      </c>
      <c r="K156" s="294"/>
      <c r="L156" s="294"/>
      <c r="M156" s="294"/>
      <c r="N156" s="294"/>
      <c r="O156" s="294"/>
      <c r="P156" s="243"/>
      <c r="Q156" s="243"/>
      <c r="R156" s="243"/>
      <c r="S156" s="243"/>
      <c r="T156" s="243"/>
      <c r="U156" s="243"/>
    </row>
    <row r="157" spans="2:21">
      <c r="D157" s="292"/>
      <c r="E157" s="243"/>
      <c r="F157" s="243"/>
      <c r="G157" s="243"/>
      <c r="H157" s="243"/>
      <c r="I157" s="325"/>
      <c r="J157" s="325"/>
      <c r="K157" s="294"/>
      <c r="L157" s="325"/>
      <c r="M157" s="325"/>
      <c r="N157" s="325"/>
      <c r="O157" s="325"/>
      <c r="P157" s="243"/>
      <c r="Q157" s="243"/>
      <c r="R157" s="243"/>
      <c r="S157" s="243"/>
      <c r="T157" s="243"/>
      <c r="U157" s="243"/>
    </row>
    <row r="158" spans="2:21">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c r="D159" s="292"/>
      <c r="E159" s="243"/>
      <c r="F159" s="243"/>
      <c r="G159" s="243"/>
      <c r="H159" s="243"/>
      <c r="I159" s="325"/>
      <c r="J159" s="325"/>
      <c r="K159" s="294"/>
      <c r="L159" s="325"/>
      <c r="M159" s="325"/>
      <c r="N159" s="325"/>
      <c r="O159" s="325"/>
      <c r="P159" s="243"/>
      <c r="Q159" s="243"/>
      <c r="R159" s="243"/>
      <c r="S159" s="243"/>
      <c r="T159" s="243"/>
      <c r="U159" s="243"/>
    </row>
    <row r="160" spans="2:21">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55" priority="1" stopIfTrue="1" operator="equal">
      <formula>$I$10</formula>
    </cfRule>
  </conditionalFormatting>
  <conditionalFormatting sqref="C100:C155">
    <cfRule type="cellIs" dxfId="54"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tabColor rgb="FF92D050"/>
  </sheetPr>
  <dimension ref="A1:U163"/>
  <sheetViews>
    <sheetView view="pageBreakPreview" zoomScale="90" zoomScaleNormal="100" zoomScaleSheetLayoutView="90"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4 of 23</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6.5" thickBot="1">
      <c r="C4" s="590" t="s">
        <v>237</v>
      </c>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1288740.9368321924</v>
      </c>
      <c r="P5" s="243"/>
      <c r="R5" s="243"/>
      <c r="S5" s="243"/>
      <c r="T5" s="243"/>
      <c r="U5" s="243"/>
    </row>
    <row r="6" spans="1:21" ht="15.75">
      <c r="C6" s="591" t="s">
        <v>238</v>
      </c>
      <c r="D6" s="292"/>
      <c r="E6" s="243"/>
      <c r="F6" s="243"/>
      <c r="G6" s="243"/>
      <c r="H6" s="449"/>
      <c r="I6" s="449"/>
      <c r="J6" s="450"/>
      <c r="K6" s="451" t="s">
        <v>243</v>
      </c>
      <c r="L6" s="452"/>
      <c r="M6" s="278"/>
      <c r="N6" s="453">
        <f>VLOOKUP(I10,C17:I73,6)</f>
        <v>1288740.9368321924</v>
      </c>
      <c r="O6" s="243"/>
      <c r="P6" s="243"/>
      <c r="R6" s="243"/>
      <c r="S6" s="243"/>
      <c r="T6" s="243"/>
      <c r="U6" s="243"/>
    </row>
    <row r="7" spans="1:21" ht="13.5" thickBot="1">
      <c r="C7" s="454" t="s">
        <v>46</v>
      </c>
      <c r="D7" s="455" t="s">
        <v>201</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200</v>
      </c>
      <c r="E9" s="647" t="s">
        <v>309</v>
      </c>
      <c r="F9" s="465"/>
      <c r="G9" s="465"/>
      <c r="H9" s="465"/>
      <c r="I9" s="466"/>
      <c r="J9" s="467"/>
      <c r="O9" s="468"/>
      <c r="P9" s="278"/>
      <c r="R9" s="243"/>
      <c r="S9" s="243"/>
      <c r="T9" s="243"/>
      <c r="U9" s="243"/>
    </row>
    <row r="10" spans="1:21">
      <c r="C10" s="469" t="s">
        <v>49</v>
      </c>
      <c r="D10" s="470">
        <f>11742800*94%</f>
        <v>11038232</v>
      </c>
      <c r="E10" s="299" t="s">
        <v>50</v>
      </c>
      <c r="F10" s="468"/>
      <c r="G10" s="408"/>
      <c r="H10" s="408"/>
      <c r="I10" s="471">
        <f>+OKT.WS.F.BPU.ATRR.Projected!R101</f>
        <v>2022</v>
      </c>
      <c r="J10" s="467"/>
      <c r="K10" s="294" t="s">
        <v>51</v>
      </c>
      <c r="O10" s="278"/>
      <c r="P10" s="278"/>
      <c r="R10" s="243"/>
      <c r="S10" s="243"/>
      <c r="T10" s="243"/>
      <c r="U10" s="243"/>
    </row>
    <row r="11" spans="1:21">
      <c r="C11" s="472" t="s">
        <v>52</v>
      </c>
      <c r="D11" s="473">
        <v>2011</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6</v>
      </c>
      <c r="E12" s="472" t="s">
        <v>55</v>
      </c>
      <c r="F12" s="408"/>
      <c r="G12" s="220"/>
      <c r="H12" s="220"/>
      <c r="I12" s="476">
        <f>OKT.WS.F.BPU.ATRR.Projected!$F$79</f>
        <v>0.11475877389767174</v>
      </c>
      <c r="J12" s="578"/>
      <c r="K12" s="145" t="s">
        <v>56</v>
      </c>
      <c r="O12" s="278"/>
      <c r="P12" s="278"/>
      <c r="R12" s="243"/>
      <c r="S12" s="243"/>
      <c r="T12" s="243"/>
      <c r="U12" s="243"/>
    </row>
    <row r="13" spans="1:21">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334491.87878787878</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49" si="0">IF(D17=F16,"","IU")</f>
        <v>IU</v>
      </c>
      <c r="C17" s="580">
        <f>IF(D11= "","-",D11)</f>
        <v>2011</v>
      </c>
      <c r="D17" s="496">
        <v>12876000</v>
      </c>
      <c r="E17" s="497">
        <v>18562.052446566122</v>
      </c>
      <c r="F17" s="496">
        <v>12857437.947553433</v>
      </c>
      <c r="G17" s="498">
        <v>1690105.6704770608</v>
      </c>
      <c r="H17" s="499">
        <v>1690105.6704770608</v>
      </c>
      <c r="I17" s="584">
        <f t="shared" ref="I17:I49" si="1">H17-G17</f>
        <v>0</v>
      </c>
      <c r="J17" s="350"/>
      <c r="K17" s="592">
        <f t="shared" ref="K17:K22" si="2">G17</f>
        <v>1690105.6704770608</v>
      </c>
      <c r="L17" s="593">
        <f t="shared" ref="L17:L49" si="3">IF(K17&lt;&gt;0,+G17-K17,0)</f>
        <v>0</v>
      </c>
      <c r="M17" s="592">
        <f t="shared" ref="M17:M22" si="4">H17</f>
        <v>1690105.6704770608</v>
      </c>
      <c r="N17" s="594">
        <f t="shared" ref="N17:N49" si="5">IF(M17&lt;&gt;0,+H17-M17,0)</f>
        <v>0</v>
      </c>
      <c r="O17" s="595">
        <f t="shared" ref="O17:O49" si="6">+N17-L17</f>
        <v>0</v>
      </c>
      <c r="P17" s="278"/>
      <c r="R17" s="243"/>
      <c r="S17" s="243"/>
      <c r="T17" s="243"/>
      <c r="U17" s="243"/>
    </row>
    <row r="18" spans="2:21">
      <c r="B18" s="145" t="str">
        <f t="shared" si="0"/>
        <v/>
      </c>
      <c r="C18" s="495">
        <f>IF(D11="","-",+C17+1)</f>
        <v>2012</v>
      </c>
      <c r="D18" s="505">
        <v>12857437.947553433</v>
      </c>
      <c r="E18" s="498">
        <v>203958.10236185769</v>
      </c>
      <c r="F18" s="505">
        <v>12653479.845191576</v>
      </c>
      <c r="G18" s="498">
        <v>1426879.3827639234</v>
      </c>
      <c r="H18" s="499">
        <v>1426879.3827639234</v>
      </c>
      <c r="I18" s="500">
        <v>0</v>
      </c>
      <c r="J18" s="350"/>
      <c r="K18" s="592">
        <f t="shared" si="2"/>
        <v>1426879.3827639234</v>
      </c>
      <c r="L18" s="596">
        <f t="shared" si="3"/>
        <v>0</v>
      </c>
      <c r="M18" s="592">
        <f t="shared" si="4"/>
        <v>1426879.3827639234</v>
      </c>
      <c r="N18" s="594">
        <f t="shared" si="5"/>
        <v>0</v>
      </c>
      <c r="O18" s="596">
        <f t="shared" si="6"/>
        <v>0</v>
      </c>
      <c r="P18" s="278"/>
      <c r="R18" s="243"/>
      <c r="S18" s="243"/>
      <c r="T18" s="243"/>
      <c r="U18" s="243"/>
    </row>
    <row r="19" spans="2:21">
      <c r="B19" s="145" t="str">
        <f t="shared" si="0"/>
        <v>IU</v>
      </c>
      <c r="C19" s="495">
        <f>IF(D11="","-",+C18+1)</f>
        <v>2013</v>
      </c>
      <c r="D19" s="505">
        <v>11520279.845191576</v>
      </c>
      <c r="E19" s="498">
        <v>203141.16446368746</v>
      </c>
      <c r="F19" s="505">
        <v>11317138.680727888</v>
      </c>
      <c r="G19" s="498">
        <v>1439439.106345837</v>
      </c>
      <c r="H19" s="499">
        <v>1439439.106345837</v>
      </c>
      <c r="I19" s="584">
        <v>0</v>
      </c>
      <c r="J19" s="350"/>
      <c r="K19" s="592">
        <f t="shared" si="2"/>
        <v>1439439.106345837</v>
      </c>
      <c r="L19" s="596">
        <f t="shared" ref="L19:L24" si="7">IF(K19&lt;&gt;0,+G19-K19,0)</f>
        <v>0</v>
      </c>
      <c r="M19" s="592">
        <f t="shared" si="4"/>
        <v>1439439.106345837</v>
      </c>
      <c r="N19" s="594">
        <f>IF(M19&lt;&gt;0,+H19-M19,0)</f>
        <v>0</v>
      </c>
      <c r="O19" s="596">
        <f>+N19-L19</f>
        <v>0</v>
      </c>
      <c r="P19" s="278"/>
      <c r="R19" s="243"/>
      <c r="S19" s="243"/>
      <c r="T19" s="243"/>
      <c r="U19" s="243"/>
    </row>
    <row r="20" spans="2:21">
      <c r="B20" s="145" t="str">
        <f t="shared" si="0"/>
        <v/>
      </c>
      <c r="C20" s="495">
        <f>IF(D11="","-",+C19+1)</f>
        <v>2014</v>
      </c>
      <c r="D20" s="505">
        <v>11317138.680727888</v>
      </c>
      <c r="E20" s="498">
        <v>203141.16446368746</v>
      </c>
      <c r="F20" s="505">
        <v>11113997.5162642</v>
      </c>
      <c r="G20" s="498">
        <v>1425984.6077299202</v>
      </c>
      <c r="H20" s="499">
        <v>1425984.6077299202</v>
      </c>
      <c r="I20" s="500">
        <v>0</v>
      </c>
      <c r="J20" s="500"/>
      <c r="K20" s="592">
        <f t="shared" si="2"/>
        <v>1425984.6077299202</v>
      </c>
      <c r="L20" s="596">
        <f t="shared" si="7"/>
        <v>0</v>
      </c>
      <c r="M20" s="592">
        <f t="shared" si="4"/>
        <v>1425984.6077299202</v>
      </c>
      <c r="N20" s="594">
        <f>IF(M20&lt;&gt;0,+H20-M20,0)</f>
        <v>0</v>
      </c>
      <c r="O20" s="596">
        <f>+N20-L20</f>
        <v>0</v>
      </c>
      <c r="P20" s="278"/>
      <c r="R20" s="243"/>
      <c r="S20" s="243"/>
      <c r="T20" s="243"/>
      <c r="U20" s="243"/>
    </row>
    <row r="21" spans="2:21">
      <c r="B21" s="145" t="str">
        <f t="shared" si="0"/>
        <v/>
      </c>
      <c r="C21" s="495">
        <f>IF(D12="","-",+C20+1)</f>
        <v>2015</v>
      </c>
      <c r="D21" s="505">
        <v>11113997.5162642</v>
      </c>
      <c r="E21" s="498">
        <v>203141.16446368746</v>
      </c>
      <c r="F21" s="505">
        <v>10910856.351800513</v>
      </c>
      <c r="G21" s="498">
        <v>1327673.3550101635</v>
      </c>
      <c r="H21" s="499">
        <v>1327673.3550101635</v>
      </c>
      <c r="I21" s="500">
        <v>0</v>
      </c>
      <c r="J21" s="500"/>
      <c r="K21" s="592">
        <f t="shared" si="2"/>
        <v>1327673.3550101635</v>
      </c>
      <c r="L21" s="596">
        <f t="shared" si="7"/>
        <v>0</v>
      </c>
      <c r="M21" s="592">
        <f t="shared" si="4"/>
        <v>1327673.3550101635</v>
      </c>
      <c r="N21" s="594">
        <f>IF(M21&lt;&gt;0,+H21-M21,0)</f>
        <v>0</v>
      </c>
      <c r="O21" s="596">
        <f>+N21-L21</f>
        <v>0</v>
      </c>
      <c r="P21" s="278"/>
      <c r="R21" s="243"/>
      <c r="S21" s="243"/>
      <c r="T21" s="243"/>
      <c r="U21" s="243"/>
    </row>
    <row r="22" spans="2:21">
      <c r="B22" s="145" t="str">
        <f>IF(D22=F21,"","IU")</f>
        <v>IU</v>
      </c>
      <c r="C22" s="495">
        <f>IF(D11="","-",+C21+1)</f>
        <v>2016</v>
      </c>
      <c r="D22" s="505">
        <v>10206288.351800514</v>
      </c>
      <c r="E22" s="498">
        <v>229368.43576510914</v>
      </c>
      <c r="F22" s="505">
        <v>9976919.9160354044</v>
      </c>
      <c r="G22" s="498">
        <v>1305682.2485042256</v>
      </c>
      <c r="H22" s="499">
        <v>1305682.2485042256</v>
      </c>
      <c r="I22" s="500">
        <f t="shared" si="1"/>
        <v>0</v>
      </c>
      <c r="J22" s="500"/>
      <c r="K22" s="592">
        <f t="shared" si="2"/>
        <v>1305682.2485042256</v>
      </c>
      <c r="L22" s="596">
        <f t="shared" si="7"/>
        <v>0</v>
      </c>
      <c r="M22" s="592">
        <f t="shared" si="4"/>
        <v>1305682.2485042256</v>
      </c>
      <c r="N22" s="504">
        <f t="shared" si="5"/>
        <v>0</v>
      </c>
      <c r="O22" s="504">
        <f t="shared" si="6"/>
        <v>0</v>
      </c>
      <c r="P22" s="278"/>
      <c r="R22" s="243"/>
      <c r="S22" s="243"/>
      <c r="T22" s="243"/>
      <c r="U22" s="243"/>
    </row>
    <row r="23" spans="2:21">
      <c r="B23" s="145" t="str">
        <f t="shared" si="0"/>
        <v/>
      </c>
      <c r="C23" s="495">
        <f>IF(D11="","-",+C22+1)</f>
        <v>2017</v>
      </c>
      <c r="D23" s="505">
        <v>9976919.9160354044</v>
      </c>
      <c r="E23" s="498">
        <v>217033.49443183315</v>
      </c>
      <c r="F23" s="505">
        <v>9759886.4216035716</v>
      </c>
      <c r="G23" s="498">
        <v>1301965.4660054925</v>
      </c>
      <c r="H23" s="499">
        <v>1301965.4660054925</v>
      </c>
      <c r="I23" s="500">
        <f t="shared" si="1"/>
        <v>0</v>
      </c>
      <c r="J23" s="500"/>
      <c r="K23" s="592">
        <f>G23</f>
        <v>1301965.4660054925</v>
      </c>
      <c r="L23" s="596">
        <f t="shared" si="7"/>
        <v>0</v>
      </c>
      <c r="M23" s="592">
        <f>H23</f>
        <v>1301965.4660054925</v>
      </c>
      <c r="N23" s="504">
        <f>IF(M23&lt;&gt;0,+H23-M23,0)</f>
        <v>0</v>
      </c>
      <c r="O23" s="504">
        <f>+N23-L23</f>
        <v>0</v>
      </c>
      <c r="P23" s="278"/>
      <c r="R23" s="243"/>
      <c r="S23" s="243"/>
      <c r="T23" s="243"/>
      <c r="U23" s="243"/>
    </row>
    <row r="24" spans="2:21">
      <c r="B24" s="145" t="str">
        <f t="shared" si="0"/>
        <v/>
      </c>
      <c r="C24" s="495">
        <f>IF(D11="","-",+C23+1)</f>
        <v>2018</v>
      </c>
      <c r="D24" s="505">
        <v>9759886.4216035716</v>
      </c>
      <c r="E24" s="498">
        <v>270708.0251158927</v>
      </c>
      <c r="F24" s="505">
        <v>9489178.3964876793</v>
      </c>
      <c r="G24" s="498">
        <v>1248788.1344461204</v>
      </c>
      <c r="H24" s="499">
        <v>1248788.1344461204</v>
      </c>
      <c r="I24" s="500">
        <v>0</v>
      </c>
      <c r="J24" s="500"/>
      <c r="K24" s="592">
        <f>G24</f>
        <v>1248788.1344461204</v>
      </c>
      <c r="L24" s="596">
        <f t="shared" si="7"/>
        <v>0</v>
      </c>
      <c r="M24" s="592">
        <f>H24</f>
        <v>1248788.1344461204</v>
      </c>
      <c r="N24" s="504">
        <f>IF(M24&lt;&gt;0,+H24-M24,0)</f>
        <v>0</v>
      </c>
      <c r="O24" s="504">
        <f>+N24-L24</f>
        <v>0</v>
      </c>
      <c r="P24" s="278"/>
      <c r="R24" s="243"/>
      <c r="S24" s="243"/>
      <c r="T24" s="243"/>
      <c r="U24" s="243"/>
    </row>
    <row r="25" spans="2:21">
      <c r="B25" s="145" t="str">
        <f t="shared" si="0"/>
        <v/>
      </c>
      <c r="C25" s="495">
        <f>IF(D11="","-",+C24+1)</f>
        <v>2019</v>
      </c>
      <c r="D25" s="505">
        <v>9489178.3964876793</v>
      </c>
      <c r="E25" s="498">
        <v>327381.233179364</v>
      </c>
      <c r="F25" s="505">
        <v>9161797.163308315</v>
      </c>
      <c r="G25" s="498">
        <v>1296634.8001552834</v>
      </c>
      <c r="H25" s="499">
        <v>1296634.8001552834</v>
      </c>
      <c r="I25" s="500">
        <f t="shared" si="1"/>
        <v>0</v>
      </c>
      <c r="J25" s="500"/>
      <c r="K25" s="592">
        <f>G25</f>
        <v>1296634.8001552834</v>
      </c>
      <c r="L25" s="596">
        <f t="shared" ref="L25" si="8">IF(K25&lt;&gt;0,+G25-K25,0)</f>
        <v>0</v>
      </c>
      <c r="M25" s="592">
        <f>H25</f>
        <v>1296634.8001552834</v>
      </c>
      <c r="N25" s="504">
        <f>IF(M25&lt;&gt;0,+H25-M25,0)</f>
        <v>0</v>
      </c>
      <c r="O25" s="504">
        <f>+N25-L25</f>
        <v>0</v>
      </c>
      <c r="P25" s="278"/>
      <c r="R25" s="243"/>
      <c r="S25" s="243"/>
      <c r="T25" s="243"/>
      <c r="U25" s="243"/>
    </row>
    <row r="26" spans="2:21">
      <c r="B26" s="145" t="str">
        <f t="shared" si="0"/>
        <v>IU</v>
      </c>
      <c r="C26" s="495">
        <f>IF(D11="","-",+C25+1)</f>
        <v>2020</v>
      </c>
      <c r="D26" s="505">
        <v>9218470.371371787</v>
      </c>
      <c r="E26" s="498">
        <v>323219.08619976818</v>
      </c>
      <c r="F26" s="505">
        <v>8895251.2851720192</v>
      </c>
      <c r="G26" s="498">
        <v>1273577.8300042083</v>
      </c>
      <c r="H26" s="499">
        <v>1273577.8300042083</v>
      </c>
      <c r="I26" s="500">
        <f t="shared" si="1"/>
        <v>0</v>
      </c>
      <c r="J26" s="500"/>
      <c r="K26" s="592">
        <f>G26</f>
        <v>1273577.8300042083</v>
      </c>
      <c r="L26" s="596">
        <f t="shared" ref="L26" si="9">IF(K26&lt;&gt;0,+G26-K26,0)</f>
        <v>0</v>
      </c>
      <c r="M26" s="592">
        <f>H26</f>
        <v>1273577.8300042083</v>
      </c>
      <c r="N26" s="504">
        <f>IF(M26&lt;&gt;0,+H26-M26,0)</f>
        <v>0</v>
      </c>
      <c r="O26" s="504">
        <f t="shared" si="6"/>
        <v>0</v>
      </c>
      <c r="P26" s="278"/>
      <c r="R26" s="243"/>
      <c r="S26" s="243"/>
      <c r="T26" s="243"/>
      <c r="U26" s="243"/>
    </row>
    <row r="27" spans="2:21">
      <c r="B27" s="145" t="str">
        <f t="shared" si="0"/>
        <v>IU</v>
      </c>
      <c r="C27" s="495">
        <f>IF(D11="","-",+C26+1)</f>
        <v>2021</v>
      </c>
      <c r="D27" s="505">
        <v>8838578.0771085471</v>
      </c>
      <c r="E27" s="498">
        <v>356072</v>
      </c>
      <c r="F27" s="505">
        <v>8482506.0771085471</v>
      </c>
      <c r="G27" s="498">
        <v>1293013.3264763721</v>
      </c>
      <c r="H27" s="499">
        <v>1293013.3264763721</v>
      </c>
      <c r="I27" s="500">
        <f t="shared" si="1"/>
        <v>0</v>
      </c>
      <c r="J27" s="500"/>
      <c r="K27" s="592">
        <f>G27</f>
        <v>1293013.3264763721</v>
      </c>
      <c r="L27" s="596">
        <f t="shared" ref="L27" si="10">IF(K27&lt;&gt;0,+G27-K27,0)</f>
        <v>0</v>
      </c>
      <c r="M27" s="592">
        <f>H27</f>
        <v>1293013.3264763721</v>
      </c>
      <c r="N27" s="504">
        <f>IF(M27&lt;&gt;0,+H27-M27,0)</f>
        <v>0</v>
      </c>
      <c r="O27" s="504">
        <f t="shared" si="6"/>
        <v>0</v>
      </c>
      <c r="P27" s="278"/>
      <c r="R27" s="243"/>
      <c r="S27" s="243"/>
      <c r="T27" s="243"/>
      <c r="U27" s="243"/>
    </row>
    <row r="28" spans="2:21">
      <c r="B28" s="145" t="str">
        <f t="shared" si="0"/>
        <v/>
      </c>
      <c r="C28" s="495">
        <f>IF(D11="","-",+C27+1)</f>
        <v>2022</v>
      </c>
      <c r="D28" s="508">
        <f>IF(F27+SUM(E$17:E27)=D$10,F27,D$10-SUM(E$17:E27))</f>
        <v>8482506.0771085471</v>
      </c>
      <c r="E28" s="509">
        <f>IF(+I14&lt;F27,I14,D28)</f>
        <v>334491.87878787878</v>
      </c>
      <c r="F28" s="510">
        <f t="shared" ref="F28:F49" si="11">+D28-E28</f>
        <v>8148014.1983206682</v>
      </c>
      <c r="G28" s="511">
        <f t="shared" ref="G28:G73" si="12">(D28+F28)/2*I$12+E28</f>
        <v>1288740.9368321924</v>
      </c>
      <c r="H28" s="477">
        <f t="shared" ref="H28:H73" si="13">+(D28+F28)/2*I$13+E28</f>
        <v>1288740.9368321924</v>
      </c>
      <c r="I28" s="500">
        <f t="shared" si="1"/>
        <v>0</v>
      </c>
      <c r="J28" s="500"/>
      <c r="K28" s="512"/>
      <c r="L28" s="504">
        <f t="shared" si="3"/>
        <v>0</v>
      </c>
      <c r="M28" s="512"/>
      <c r="N28" s="504">
        <f t="shared" si="5"/>
        <v>0</v>
      </c>
      <c r="O28" s="504">
        <f t="shared" si="6"/>
        <v>0</v>
      </c>
      <c r="P28" s="278"/>
      <c r="R28" s="243"/>
      <c r="S28" s="243"/>
      <c r="T28" s="243"/>
      <c r="U28" s="243"/>
    </row>
    <row r="29" spans="2:21">
      <c r="B29" s="145" t="str">
        <f t="shared" si="0"/>
        <v/>
      </c>
      <c r="C29" s="495">
        <f>IF(D11="","-",+C28+1)</f>
        <v>2023</v>
      </c>
      <c r="D29" s="508">
        <f>IF(F28+SUM(E$17:E28)=D$10,F28,D$10-SUM(E$17:E28))</f>
        <v>8148014.1983206682</v>
      </c>
      <c r="E29" s="509">
        <f>IF(+I14&lt;F28,I14,D29)</f>
        <v>334491.87878787878</v>
      </c>
      <c r="F29" s="510">
        <f t="shared" si="11"/>
        <v>7813522.3195327893</v>
      </c>
      <c r="G29" s="511">
        <f t="shared" si="12"/>
        <v>1250355.0589437666</v>
      </c>
      <c r="H29" s="477">
        <f t="shared" si="13"/>
        <v>1250355.0589437666</v>
      </c>
      <c r="I29" s="500">
        <f t="shared" si="1"/>
        <v>0</v>
      </c>
      <c r="J29" s="500"/>
      <c r="K29" s="512"/>
      <c r="L29" s="504">
        <f t="shared" si="3"/>
        <v>0</v>
      </c>
      <c r="M29" s="512"/>
      <c r="N29" s="504">
        <f t="shared" si="5"/>
        <v>0</v>
      </c>
      <c r="O29" s="504">
        <f t="shared" si="6"/>
        <v>0</v>
      </c>
      <c r="P29" s="278"/>
      <c r="R29" s="243"/>
      <c r="S29" s="243"/>
      <c r="T29" s="243"/>
      <c r="U29" s="243"/>
    </row>
    <row r="30" spans="2:21">
      <c r="B30" s="145" t="str">
        <f t="shared" si="0"/>
        <v/>
      </c>
      <c r="C30" s="495">
        <f>IF(D11="","-",+C29+1)</f>
        <v>2024</v>
      </c>
      <c r="D30" s="508">
        <f>IF(F29+SUM(E$17:E29)=D$10,F29,D$10-SUM(E$17:E29))</f>
        <v>7813522.3195327893</v>
      </c>
      <c r="E30" s="509">
        <f>IF(+I14&lt;F29,I14,D30)</f>
        <v>334491.87878787878</v>
      </c>
      <c r="F30" s="510">
        <f t="shared" si="11"/>
        <v>7479030.4407449104</v>
      </c>
      <c r="G30" s="511">
        <f t="shared" si="12"/>
        <v>1211969.1810553409</v>
      </c>
      <c r="H30" s="477">
        <f t="shared" si="13"/>
        <v>1211969.1810553409</v>
      </c>
      <c r="I30" s="500">
        <f t="shared" si="1"/>
        <v>0</v>
      </c>
      <c r="J30" s="500"/>
      <c r="K30" s="512"/>
      <c r="L30" s="504">
        <f t="shared" si="3"/>
        <v>0</v>
      </c>
      <c r="M30" s="512"/>
      <c r="N30" s="504">
        <f t="shared" si="5"/>
        <v>0</v>
      </c>
      <c r="O30" s="504">
        <f t="shared" si="6"/>
        <v>0</v>
      </c>
      <c r="P30" s="278"/>
      <c r="R30" s="243"/>
      <c r="S30" s="243"/>
      <c r="T30" s="243"/>
      <c r="U30" s="243"/>
    </row>
    <row r="31" spans="2:21">
      <c r="B31" s="145" t="str">
        <f t="shared" si="0"/>
        <v/>
      </c>
      <c r="C31" s="495">
        <f>IF(D11="","-",+C30+1)</f>
        <v>2025</v>
      </c>
      <c r="D31" s="508">
        <f>IF(F30+SUM(E$17:E30)=D$10,F30,D$10-SUM(E$17:E30))</f>
        <v>7479030.4407449104</v>
      </c>
      <c r="E31" s="597">
        <f>IF(+I14&lt;F30,I14,D31)</f>
        <v>334491.87878787878</v>
      </c>
      <c r="F31" s="510">
        <f>+D31-E31</f>
        <v>7144538.5619570315</v>
      </c>
      <c r="G31" s="511">
        <f t="shared" si="12"/>
        <v>1173583.3031669152</v>
      </c>
      <c r="H31" s="477">
        <f t="shared" si="13"/>
        <v>1173583.3031669152</v>
      </c>
      <c r="I31" s="500">
        <f>H31-G31</f>
        <v>0</v>
      </c>
      <c r="J31" s="500"/>
      <c r="K31" s="512"/>
      <c r="L31" s="504">
        <f>IF(K31&lt;&gt;0,+G31-K31,0)</f>
        <v>0</v>
      </c>
      <c r="M31" s="512"/>
      <c r="N31" s="504">
        <f>IF(M31&lt;&gt;0,+H31-M31,0)</f>
        <v>0</v>
      </c>
      <c r="O31" s="504">
        <f>+N31-L31</f>
        <v>0</v>
      </c>
      <c r="P31" s="278"/>
      <c r="Q31" s="220"/>
      <c r="R31" s="278"/>
      <c r="S31" s="278"/>
      <c r="T31" s="278"/>
      <c r="U31" s="243"/>
    </row>
    <row r="32" spans="2:21">
      <c r="B32" s="145" t="str">
        <f t="shared" si="0"/>
        <v/>
      </c>
      <c r="C32" s="495">
        <f>IF(D12="","-",+C31+1)</f>
        <v>2026</v>
      </c>
      <c r="D32" s="508">
        <f>IF(F31+SUM(E$17:E31)=D$10,F31,D$10-SUM(E$17:E31))</f>
        <v>7144538.5619570315</v>
      </c>
      <c r="E32" s="597">
        <f>IF(+I14&lt;F31,I14,D32)</f>
        <v>334491.87878787878</v>
      </c>
      <c r="F32" s="510">
        <f>+D32-E32</f>
        <v>6810046.6831691526</v>
      </c>
      <c r="G32" s="511">
        <f t="shared" si="12"/>
        <v>1135197.4252784897</v>
      </c>
      <c r="H32" s="477">
        <f t="shared" si="13"/>
        <v>1135197.4252784897</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2027</v>
      </c>
      <c r="D33" s="508">
        <f>IF(F32+SUM(E$17:E32)=D$10,F32,D$10-SUM(E$17:E32))</f>
        <v>6810046.6831691526</v>
      </c>
      <c r="E33" s="509">
        <f>IF(+I14&lt;F31,I14,D33)</f>
        <v>334491.87878787878</v>
      </c>
      <c r="F33" s="510">
        <f>+D33-E33</f>
        <v>6475554.8043812737</v>
      </c>
      <c r="G33" s="511">
        <f t="shared" si="12"/>
        <v>1096811.5473900642</v>
      </c>
      <c r="H33" s="477">
        <f t="shared" si="13"/>
        <v>1096811.5473900642</v>
      </c>
      <c r="I33" s="500">
        <f>H33-G33</f>
        <v>0</v>
      </c>
      <c r="J33" s="500"/>
      <c r="K33" s="512"/>
      <c r="L33" s="504">
        <f>IF(K33&lt;&gt;0,+G33-K33,0)</f>
        <v>0</v>
      </c>
      <c r="M33" s="512"/>
      <c r="N33" s="504">
        <f>IF(M33&lt;&gt;0,+H33-M33,0)</f>
        <v>0</v>
      </c>
      <c r="O33" s="504">
        <f>+N33-L33</f>
        <v>0</v>
      </c>
      <c r="P33" s="278"/>
      <c r="R33" s="243"/>
      <c r="S33" s="243"/>
      <c r="T33" s="243"/>
      <c r="U33" s="243"/>
    </row>
    <row r="34" spans="2:21">
      <c r="B34" s="145" t="str">
        <f t="shared" si="0"/>
        <v/>
      </c>
      <c r="C34" s="513">
        <f>IF(D11="","-",+C33+1)</f>
        <v>2028</v>
      </c>
      <c r="D34" s="514">
        <f>IF(F33+SUM(E$17:E33)=D$10,F33,D$10-SUM(E$17:E33))</f>
        <v>6475554.8043812737</v>
      </c>
      <c r="E34" s="515">
        <f>IF(+I14&lt;F33,I14,D34)</f>
        <v>334491.87878787878</v>
      </c>
      <c r="F34" s="516">
        <f t="shared" si="11"/>
        <v>6141062.9255933948</v>
      </c>
      <c r="G34" s="517">
        <f t="shared" si="12"/>
        <v>1058425.6695016385</v>
      </c>
      <c r="H34" s="518">
        <f t="shared" si="13"/>
        <v>1058425.6695016385</v>
      </c>
      <c r="I34" s="519">
        <f t="shared" si="1"/>
        <v>0</v>
      </c>
      <c r="J34" s="519"/>
      <c r="K34" s="520"/>
      <c r="L34" s="521">
        <f t="shared" si="3"/>
        <v>0</v>
      </c>
      <c r="M34" s="520"/>
      <c r="N34" s="521">
        <f t="shared" si="5"/>
        <v>0</v>
      </c>
      <c r="O34" s="521">
        <f t="shared" si="6"/>
        <v>0</v>
      </c>
      <c r="P34" s="522"/>
      <c r="Q34" s="216"/>
      <c r="R34" s="522"/>
      <c r="S34" s="522"/>
      <c r="T34" s="522"/>
      <c r="U34" s="243"/>
    </row>
    <row r="35" spans="2:21">
      <c r="B35" s="145" t="str">
        <f t="shared" si="0"/>
        <v/>
      </c>
      <c r="C35" s="495">
        <f>IF(D11="","-",+C34+1)</f>
        <v>2029</v>
      </c>
      <c r="D35" s="508">
        <f>IF(F34+SUM(E$17:E34)=D$10,F34,D$10-SUM(E$17:E34))</f>
        <v>6141062.9255933948</v>
      </c>
      <c r="E35" s="509">
        <f>IF(+I14&lt;F34,I14,D35)</f>
        <v>334491.87878787878</v>
      </c>
      <c r="F35" s="510">
        <f t="shared" si="11"/>
        <v>5806571.0468055159</v>
      </c>
      <c r="G35" s="511">
        <f t="shared" si="12"/>
        <v>1020039.7916132129</v>
      </c>
      <c r="H35" s="477">
        <f t="shared" si="13"/>
        <v>1020039.7916132129</v>
      </c>
      <c r="I35" s="500">
        <f t="shared" si="1"/>
        <v>0</v>
      </c>
      <c r="J35" s="500"/>
      <c r="K35" s="512"/>
      <c r="L35" s="504">
        <f t="shared" si="3"/>
        <v>0</v>
      </c>
      <c r="M35" s="512"/>
      <c r="N35" s="504">
        <f t="shared" si="5"/>
        <v>0</v>
      </c>
      <c r="O35" s="504">
        <f t="shared" si="6"/>
        <v>0</v>
      </c>
      <c r="P35" s="278"/>
      <c r="R35" s="243"/>
      <c r="S35" s="243"/>
      <c r="T35" s="243"/>
      <c r="U35" s="243"/>
    </row>
    <row r="36" spans="2:21">
      <c r="B36" s="145" t="str">
        <f t="shared" si="0"/>
        <v/>
      </c>
      <c r="C36" s="495">
        <f>IF(D11="","-",+C35+1)</f>
        <v>2030</v>
      </c>
      <c r="D36" s="508">
        <f>IF(F35+SUM(E$17:E35)=D$10,F35,D$10-SUM(E$17:E35))</f>
        <v>5806571.0468055159</v>
      </c>
      <c r="E36" s="509">
        <f>IF(+I14&lt;F35,I14,D36)</f>
        <v>334491.87878787878</v>
      </c>
      <c r="F36" s="510">
        <f t="shared" si="11"/>
        <v>5472079.168017637</v>
      </c>
      <c r="G36" s="511">
        <f t="shared" si="12"/>
        <v>981653.9137247873</v>
      </c>
      <c r="H36" s="477">
        <f t="shared" si="13"/>
        <v>981653.9137247873</v>
      </c>
      <c r="I36" s="500">
        <f t="shared" si="1"/>
        <v>0</v>
      </c>
      <c r="J36" s="500"/>
      <c r="K36" s="512"/>
      <c r="L36" s="504">
        <f t="shared" si="3"/>
        <v>0</v>
      </c>
      <c r="M36" s="512"/>
      <c r="N36" s="504">
        <f t="shared" si="5"/>
        <v>0</v>
      </c>
      <c r="O36" s="504">
        <f t="shared" si="6"/>
        <v>0</v>
      </c>
      <c r="P36" s="278"/>
      <c r="R36" s="243"/>
      <c r="S36" s="243"/>
      <c r="T36" s="243"/>
      <c r="U36" s="243"/>
    </row>
    <row r="37" spans="2:21">
      <c r="B37" s="145" t="str">
        <f t="shared" si="0"/>
        <v/>
      </c>
      <c r="C37" s="495">
        <f>IF(D11="","-",+C36+1)</f>
        <v>2031</v>
      </c>
      <c r="D37" s="508">
        <f>IF(F36+SUM(E$17:E36)=D$10,F36,D$10-SUM(E$17:E36))</f>
        <v>5472079.168017637</v>
      </c>
      <c r="E37" s="509">
        <f>IF(+I14&lt;F36,I14,D37)</f>
        <v>334491.87878787878</v>
      </c>
      <c r="F37" s="510">
        <f t="shared" si="11"/>
        <v>5137587.2892297581</v>
      </c>
      <c r="G37" s="511">
        <f t="shared" si="12"/>
        <v>943268.0358363617</v>
      </c>
      <c r="H37" s="477">
        <f t="shared" si="13"/>
        <v>943268.0358363617</v>
      </c>
      <c r="I37" s="500">
        <f t="shared" si="1"/>
        <v>0</v>
      </c>
      <c r="J37" s="500"/>
      <c r="K37" s="512"/>
      <c r="L37" s="504">
        <f t="shared" si="3"/>
        <v>0</v>
      </c>
      <c r="M37" s="512"/>
      <c r="N37" s="504">
        <f t="shared" si="5"/>
        <v>0</v>
      </c>
      <c r="O37" s="504">
        <f t="shared" si="6"/>
        <v>0</v>
      </c>
      <c r="P37" s="278"/>
      <c r="R37" s="243"/>
      <c r="S37" s="243"/>
      <c r="T37" s="243"/>
      <c r="U37" s="243"/>
    </row>
    <row r="38" spans="2:21">
      <c r="B38" s="145" t="str">
        <f t="shared" si="0"/>
        <v/>
      </c>
      <c r="C38" s="495">
        <f>IF(D11="","-",+C37+1)</f>
        <v>2032</v>
      </c>
      <c r="D38" s="508">
        <f>IF(F37+SUM(E$17:E37)=D$10,F37,D$10-SUM(E$17:E37))</f>
        <v>5137587.2892297581</v>
      </c>
      <c r="E38" s="509">
        <f>IF(+I14&lt;F37,I14,D38)</f>
        <v>334491.87878787878</v>
      </c>
      <c r="F38" s="510">
        <f t="shared" si="11"/>
        <v>4803095.4104418792</v>
      </c>
      <c r="G38" s="511">
        <f t="shared" si="12"/>
        <v>904882.15794793598</v>
      </c>
      <c r="H38" s="477">
        <f t="shared" si="13"/>
        <v>904882.15794793598</v>
      </c>
      <c r="I38" s="500">
        <f t="shared" si="1"/>
        <v>0</v>
      </c>
      <c r="J38" s="500"/>
      <c r="K38" s="512"/>
      <c r="L38" s="504">
        <f t="shared" si="3"/>
        <v>0</v>
      </c>
      <c r="M38" s="512"/>
      <c r="N38" s="504">
        <f t="shared" si="5"/>
        <v>0</v>
      </c>
      <c r="O38" s="504">
        <f t="shared" si="6"/>
        <v>0</v>
      </c>
      <c r="P38" s="278"/>
      <c r="R38" s="243"/>
      <c r="S38" s="243"/>
      <c r="T38" s="243"/>
      <c r="U38" s="243"/>
    </row>
    <row r="39" spans="2:21">
      <c r="B39" s="145" t="str">
        <f t="shared" si="0"/>
        <v/>
      </c>
      <c r="C39" s="495">
        <f>IF(D11="","-",+C38+1)</f>
        <v>2033</v>
      </c>
      <c r="D39" s="508">
        <f>IF(F38+SUM(E$17:E38)=D$10,F38,D$10-SUM(E$17:E38))</f>
        <v>4803095.4104418792</v>
      </c>
      <c r="E39" s="509">
        <f>IF(+I14&lt;F38,I14,D39)</f>
        <v>334491.87878787878</v>
      </c>
      <c r="F39" s="510">
        <f t="shared" si="11"/>
        <v>4468603.5316540003</v>
      </c>
      <c r="G39" s="511">
        <f t="shared" si="12"/>
        <v>866496.28005951038</v>
      </c>
      <c r="H39" s="477">
        <f t="shared" si="13"/>
        <v>866496.28005951038</v>
      </c>
      <c r="I39" s="500">
        <f t="shared" si="1"/>
        <v>0</v>
      </c>
      <c r="J39" s="500"/>
      <c r="K39" s="512"/>
      <c r="L39" s="504">
        <f t="shared" si="3"/>
        <v>0</v>
      </c>
      <c r="M39" s="512"/>
      <c r="N39" s="504">
        <f t="shared" si="5"/>
        <v>0</v>
      </c>
      <c r="O39" s="504">
        <f t="shared" si="6"/>
        <v>0</v>
      </c>
      <c r="P39" s="278"/>
      <c r="R39" s="243"/>
      <c r="S39" s="243"/>
      <c r="T39" s="243"/>
      <c r="U39" s="243"/>
    </row>
    <row r="40" spans="2:21">
      <c r="B40" s="145" t="str">
        <f t="shared" si="0"/>
        <v/>
      </c>
      <c r="C40" s="495">
        <f>IF(D11="","-",+C39+1)</f>
        <v>2034</v>
      </c>
      <c r="D40" s="508">
        <f>IF(F39+SUM(E$17:E39)=D$10,F39,D$10-SUM(E$17:E39))</f>
        <v>4468603.5316540003</v>
      </c>
      <c r="E40" s="509">
        <f>IF(+I14&lt;F39,I14,D40)</f>
        <v>334491.87878787878</v>
      </c>
      <c r="F40" s="510">
        <f t="shared" si="11"/>
        <v>4134111.6528661214</v>
      </c>
      <c r="G40" s="511">
        <f t="shared" si="12"/>
        <v>828110.40217108489</v>
      </c>
      <c r="H40" s="477">
        <f t="shared" si="13"/>
        <v>828110.40217108489</v>
      </c>
      <c r="I40" s="500">
        <f t="shared" si="1"/>
        <v>0</v>
      </c>
      <c r="J40" s="500"/>
      <c r="K40" s="512"/>
      <c r="L40" s="504">
        <f t="shared" si="3"/>
        <v>0</v>
      </c>
      <c r="M40" s="512"/>
      <c r="N40" s="504">
        <f t="shared" si="5"/>
        <v>0</v>
      </c>
      <c r="O40" s="504">
        <f t="shared" si="6"/>
        <v>0</v>
      </c>
      <c r="P40" s="278"/>
      <c r="R40" s="243"/>
      <c r="S40" s="243"/>
      <c r="T40" s="243"/>
      <c r="U40" s="243"/>
    </row>
    <row r="41" spans="2:21">
      <c r="B41" s="145" t="str">
        <f t="shared" si="0"/>
        <v/>
      </c>
      <c r="C41" s="495">
        <f>IF(D12="","-",+C40+1)</f>
        <v>2035</v>
      </c>
      <c r="D41" s="508">
        <f>IF(F40+SUM(E$17:E40)=D$10,F40,D$10-SUM(E$17:E40))</f>
        <v>4134111.6528661214</v>
      </c>
      <c r="E41" s="509">
        <f>IF(+I14&lt;F40,I14,D41)</f>
        <v>334491.87878787878</v>
      </c>
      <c r="F41" s="510">
        <f t="shared" si="11"/>
        <v>3799619.7740782425</v>
      </c>
      <c r="G41" s="511">
        <f t="shared" si="12"/>
        <v>789724.52428265917</v>
      </c>
      <c r="H41" s="477">
        <f t="shared" si="13"/>
        <v>789724.52428265917</v>
      </c>
      <c r="I41" s="500">
        <f t="shared" si="1"/>
        <v>0</v>
      </c>
      <c r="J41" s="500"/>
      <c r="K41" s="512"/>
      <c r="L41" s="504">
        <f t="shared" si="3"/>
        <v>0</v>
      </c>
      <c r="M41" s="512"/>
      <c r="N41" s="504">
        <f t="shared" si="5"/>
        <v>0</v>
      </c>
      <c r="O41" s="504">
        <f t="shared" si="6"/>
        <v>0</v>
      </c>
      <c r="P41" s="278"/>
      <c r="R41" s="243"/>
      <c r="S41" s="243"/>
      <c r="T41" s="243"/>
      <c r="U41" s="243"/>
    </row>
    <row r="42" spans="2:21">
      <c r="B42" s="145" t="str">
        <f t="shared" si="0"/>
        <v/>
      </c>
      <c r="C42" s="495">
        <f>IF(D13="","-",+C41+1)</f>
        <v>2036</v>
      </c>
      <c r="D42" s="508">
        <f>IF(F41+SUM(E$17:E41)=D$10,F41,D$10-SUM(E$17:E41))</f>
        <v>3799619.7740782425</v>
      </c>
      <c r="E42" s="509">
        <f>IF(+I14&lt;F41,I14,D42)</f>
        <v>334491.87878787878</v>
      </c>
      <c r="F42" s="510">
        <f t="shared" si="11"/>
        <v>3465127.8952903636</v>
      </c>
      <c r="G42" s="511">
        <f t="shared" si="12"/>
        <v>751338.64639423357</v>
      </c>
      <c r="H42" s="477">
        <f t="shared" si="13"/>
        <v>751338.64639423357</v>
      </c>
      <c r="I42" s="500">
        <f t="shared" si="1"/>
        <v>0</v>
      </c>
      <c r="J42" s="500"/>
      <c r="K42" s="512"/>
      <c r="L42" s="504">
        <f t="shared" si="3"/>
        <v>0</v>
      </c>
      <c r="M42" s="512"/>
      <c r="N42" s="504">
        <f t="shared" si="5"/>
        <v>0</v>
      </c>
      <c r="O42" s="504">
        <f t="shared" si="6"/>
        <v>0</v>
      </c>
      <c r="P42" s="278"/>
      <c r="R42" s="243"/>
      <c r="S42" s="243"/>
      <c r="T42" s="243"/>
      <c r="U42" s="243"/>
    </row>
    <row r="43" spans="2:21">
      <c r="B43" s="145" t="str">
        <f t="shared" si="0"/>
        <v/>
      </c>
      <c r="C43" s="495">
        <f>IF(D14="","-",+C42+1)</f>
        <v>2037</v>
      </c>
      <c r="D43" s="508">
        <f>IF(F42+SUM(E$17:E42)=D$10,F42,D$10-SUM(E$17:E42))</f>
        <v>3465127.8952903636</v>
      </c>
      <c r="E43" s="509">
        <f>IF(+I14&lt;F42,I14,D43)</f>
        <v>334491.87878787878</v>
      </c>
      <c r="F43" s="510">
        <f t="shared" si="11"/>
        <v>3130636.0165024847</v>
      </c>
      <c r="G43" s="511">
        <f t="shared" si="12"/>
        <v>712952.76850580797</v>
      </c>
      <c r="H43" s="477">
        <f t="shared" si="13"/>
        <v>712952.76850580797</v>
      </c>
      <c r="I43" s="500">
        <f t="shared" si="1"/>
        <v>0</v>
      </c>
      <c r="J43" s="500"/>
      <c r="K43" s="512"/>
      <c r="L43" s="504">
        <f t="shared" si="3"/>
        <v>0</v>
      </c>
      <c r="M43" s="512"/>
      <c r="N43" s="504">
        <f t="shared" si="5"/>
        <v>0</v>
      </c>
      <c r="O43" s="504">
        <f t="shared" si="6"/>
        <v>0</v>
      </c>
      <c r="P43" s="278"/>
      <c r="R43" s="243"/>
      <c r="S43" s="243"/>
      <c r="T43" s="243"/>
      <c r="U43" s="243"/>
    </row>
    <row r="44" spans="2:21">
      <c r="B44" s="145" t="str">
        <f t="shared" si="0"/>
        <v/>
      </c>
      <c r="C44" s="495">
        <f>IF(D11="","-",+C43+1)</f>
        <v>2038</v>
      </c>
      <c r="D44" s="508">
        <f>IF(F43+SUM(E$17:E43)=D$10,F43,D$10-SUM(E$17:E43))</f>
        <v>3130636.0165024847</v>
      </c>
      <c r="E44" s="509">
        <f>IF(+I14&lt;F43,I14,D44)</f>
        <v>334491.87878787878</v>
      </c>
      <c r="F44" s="510">
        <f t="shared" si="11"/>
        <v>2796144.1377146058</v>
      </c>
      <c r="G44" s="511">
        <f t="shared" si="12"/>
        <v>674566.89061738236</v>
      </c>
      <c r="H44" s="477">
        <f t="shared" si="13"/>
        <v>674566.89061738236</v>
      </c>
      <c r="I44" s="500">
        <f t="shared" si="1"/>
        <v>0</v>
      </c>
      <c r="J44" s="500"/>
      <c r="K44" s="512"/>
      <c r="L44" s="504">
        <f t="shared" si="3"/>
        <v>0</v>
      </c>
      <c r="M44" s="512"/>
      <c r="N44" s="504">
        <f t="shared" si="5"/>
        <v>0</v>
      </c>
      <c r="O44" s="504">
        <f t="shared" si="6"/>
        <v>0</v>
      </c>
      <c r="P44" s="278"/>
      <c r="R44" s="243"/>
      <c r="S44" s="243"/>
      <c r="T44" s="243"/>
      <c r="U44" s="243"/>
    </row>
    <row r="45" spans="2:21">
      <c r="B45" s="145" t="str">
        <f t="shared" si="0"/>
        <v/>
      </c>
      <c r="C45" s="495">
        <f>IF(D11="","-",+C44+1)</f>
        <v>2039</v>
      </c>
      <c r="D45" s="508">
        <f>IF(F44+SUM(E$17:E44)=D$10,F44,D$10-SUM(E$17:E44))</f>
        <v>2796144.1377146058</v>
      </c>
      <c r="E45" s="509">
        <f>IF(+I14&lt;F44,I14,D45)</f>
        <v>334491.87878787878</v>
      </c>
      <c r="F45" s="510">
        <f t="shared" si="11"/>
        <v>2461652.2589267269</v>
      </c>
      <c r="G45" s="511">
        <f t="shared" si="12"/>
        <v>636181.01272895676</v>
      </c>
      <c r="H45" s="477">
        <f t="shared" si="13"/>
        <v>636181.01272895676</v>
      </c>
      <c r="I45" s="500">
        <f t="shared" si="1"/>
        <v>0</v>
      </c>
      <c r="J45" s="500"/>
      <c r="K45" s="512"/>
      <c r="L45" s="504">
        <f t="shared" si="3"/>
        <v>0</v>
      </c>
      <c r="M45" s="512"/>
      <c r="N45" s="504">
        <f t="shared" si="5"/>
        <v>0</v>
      </c>
      <c r="O45" s="504">
        <f t="shared" si="6"/>
        <v>0</v>
      </c>
      <c r="P45" s="278"/>
      <c r="R45" s="243"/>
      <c r="S45" s="243"/>
      <c r="T45" s="243"/>
      <c r="U45" s="243"/>
    </row>
    <row r="46" spans="2:21">
      <c r="B46" s="145" t="str">
        <f t="shared" si="0"/>
        <v/>
      </c>
      <c r="C46" s="495">
        <f>IF(D11="","-",+C45+1)</f>
        <v>2040</v>
      </c>
      <c r="D46" s="508">
        <f>IF(F45+SUM(E$17:E45)=D$10,F45,D$10-SUM(E$17:E45))</f>
        <v>2461652.2589267269</v>
      </c>
      <c r="E46" s="509">
        <f>IF(+I14&lt;F45,I14,D46)</f>
        <v>334491.87878787878</v>
      </c>
      <c r="F46" s="510">
        <f t="shared" si="11"/>
        <v>2127160.380138848</v>
      </c>
      <c r="G46" s="511">
        <f t="shared" si="12"/>
        <v>597795.13484053104</v>
      </c>
      <c r="H46" s="477">
        <f t="shared" si="13"/>
        <v>597795.13484053104</v>
      </c>
      <c r="I46" s="500">
        <f t="shared" si="1"/>
        <v>0</v>
      </c>
      <c r="J46" s="500"/>
      <c r="K46" s="512"/>
      <c r="L46" s="504">
        <f t="shared" si="3"/>
        <v>0</v>
      </c>
      <c r="M46" s="512"/>
      <c r="N46" s="504">
        <f t="shared" si="5"/>
        <v>0</v>
      </c>
      <c r="O46" s="504">
        <f t="shared" si="6"/>
        <v>0</v>
      </c>
      <c r="P46" s="278"/>
      <c r="R46" s="243"/>
      <c r="S46" s="243"/>
      <c r="T46" s="243"/>
      <c r="U46" s="243"/>
    </row>
    <row r="47" spans="2:21">
      <c r="B47" s="145" t="str">
        <f t="shared" si="0"/>
        <v/>
      </c>
      <c r="C47" s="495">
        <f>IF(D11="","-",+C46+1)</f>
        <v>2041</v>
      </c>
      <c r="D47" s="508">
        <f>IF(F46+SUM(E$17:E46)=D$10,F46,D$10-SUM(E$17:E46))</f>
        <v>2127160.380138848</v>
      </c>
      <c r="E47" s="509">
        <f>IF(+I14&lt;F46,I14,D47)</f>
        <v>334491.87878787878</v>
      </c>
      <c r="F47" s="510">
        <f t="shared" si="11"/>
        <v>1792668.5013509691</v>
      </c>
      <c r="G47" s="511">
        <f t="shared" si="12"/>
        <v>559409.25695210556</v>
      </c>
      <c r="H47" s="477">
        <f t="shared" si="13"/>
        <v>559409.25695210556</v>
      </c>
      <c r="I47" s="500">
        <f t="shared" si="1"/>
        <v>0</v>
      </c>
      <c r="J47" s="500"/>
      <c r="K47" s="512"/>
      <c r="L47" s="504">
        <f t="shared" si="3"/>
        <v>0</v>
      </c>
      <c r="M47" s="512"/>
      <c r="N47" s="504">
        <f t="shared" si="5"/>
        <v>0</v>
      </c>
      <c r="O47" s="504">
        <f t="shared" si="6"/>
        <v>0</v>
      </c>
      <c r="P47" s="278"/>
      <c r="R47" s="243"/>
      <c r="S47" s="243"/>
      <c r="T47" s="243"/>
      <c r="U47" s="243"/>
    </row>
    <row r="48" spans="2:21">
      <c r="B48" s="145" t="str">
        <f t="shared" si="0"/>
        <v/>
      </c>
      <c r="C48" s="495">
        <f>IF(D11="","-",+C47+1)</f>
        <v>2042</v>
      </c>
      <c r="D48" s="508">
        <f>IF(F47+SUM(E$17:E47)=D$10,F47,D$10-SUM(E$17:E47))</f>
        <v>1792668.5013509691</v>
      </c>
      <c r="E48" s="509">
        <f>IF(+I14&lt;F47,I14,D48)</f>
        <v>334491.87878787878</v>
      </c>
      <c r="F48" s="510">
        <f t="shared" si="11"/>
        <v>1458176.6225630902</v>
      </c>
      <c r="G48" s="511">
        <f t="shared" si="12"/>
        <v>521023.37906367984</v>
      </c>
      <c r="H48" s="477">
        <f t="shared" si="13"/>
        <v>521023.37906367984</v>
      </c>
      <c r="I48" s="500">
        <f t="shared" si="1"/>
        <v>0</v>
      </c>
      <c r="J48" s="500"/>
      <c r="K48" s="512"/>
      <c r="L48" s="504">
        <f t="shared" si="3"/>
        <v>0</v>
      </c>
      <c r="M48" s="512"/>
      <c r="N48" s="504">
        <f t="shared" si="5"/>
        <v>0</v>
      </c>
      <c r="O48" s="504">
        <f t="shared" si="6"/>
        <v>0</v>
      </c>
      <c r="P48" s="278"/>
      <c r="R48" s="243"/>
      <c r="S48" s="243"/>
      <c r="T48" s="243"/>
      <c r="U48" s="243"/>
    </row>
    <row r="49" spans="2:21">
      <c r="B49" s="145" t="str">
        <f t="shared" si="0"/>
        <v/>
      </c>
      <c r="C49" s="495">
        <f>IF(D11="","-",+C48+1)</f>
        <v>2043</v>
      </c>
      <c r="D49" s="508">
        <f>IF(F48+SUM(E$17:E48)=D$10,F48,D$10-SUM(E$17:E48))</f>
        <v>1458176.6225630902</v>
      </c>
      <c r="E49" s="509">
        <f>IF(+I14&lt;F48,I14,D49)</f>
        <v>334491.87878787878</v>
      </c>
      <c r="F49" s="510">
        <f t="shared" si="11"/>
        <v>1123684.7437752113</v>
      </c>
      <c r="G49" s="511">
        <f t="shared" si="12"/>
        <v>482637.50117525423</v>
      </c>
      <c r="H49" s="477">
        <f t="shared" si="13"/>
        <v>482637.50117525423</v>
      </c>
      <c r="I49" s="500">
        <f t="shared" si="1"/>
        <v>0</v>
      </c>
      <c r="J49" s="500"/>
      <c r="K49" s="512"/>
      <c r="L49" s="504">
        <f t="shared" si="3"/>
        <v>0</v>
      </c>
      <c r="M49" s="512"/>
      <c r="N49" s="504">
        <f t="shared" si="5"/>
        <v>0</v>
      </c>
      <c r="O49" s="504">
        <f t="shared" si="6"/>
        <v>0</v>
      </c>
      <c r="P49" s="278"/>
      <c r="R49" s="243"/>
      <c r="S49" s="243"/>
      <c r="T49" s="243"/>
      <c r="U49" s="243"/>
    </row>
    <row r="50" spans="2:21">
      <c r="B50" s="145" t="str">
        <f t="shared" ref="B50:B73" si="14">IF(D50=F49,"","IU")</f>
        <v/>
      </c>
      <c r="C50" s="495">
        <f>IF(D11="","-",+C49+1)</f>
        <v>2044</v>
      </c>
      <c r="D50" s="508">
        <f>IF(F49+SUM(E$17:E49)=D$10,F49,D$10-SUM(E$17:E49))</f>
        <v>1123684.7437752113</v>
      </c>
      <c r="E50" s="509">
        <f>IF(+I14&lt;F49,I14,D50)</f>
        <v>334491.87878787878</v>
      </c>
      <c r="F50" s="510">
        <f t="shared" ref="F50:F73" si="15">+D50-E50</f>
        <v>789192.86498733249</v>
      </c>
      <c r="G50" s="511">
        <f t="shared" si="12"/>
        <v>444251.62328682863</v>
      </c>
      <c r="H50" s="477">
        <f t="shared" si="13"/>
        <v>444251.62328682863</v>
      </c>
      <c r="I50" s="500">
        <f t="shared" ref="I50:I73" si="16">H50-G50</f>
        <v>0</v>
      </c>
      <c r="J50" s="500"/>
      <c r="K50" s="512"/>
      <c r="L50" s="504">
        <f t="shared" ref="L50:L73" si="17">IF(K50&lt;&gt;0,+G50-K50,0)</f>
        <v>0</v>
      </c>
      <c r="M50" s="512"/>
      <c r="N50" s="504">
        <f t="shared" ref="N50:N73" si="18">IF(M50&lt;&gt;0,+H50-M50,0)</f>
        <v>0</v>
      </c>
      <c r="O50" s="504">
        <f t="shared" ref="O50:O73" si="19">+N50-L50</f>
        <v>0</v>
      </c>
      <c r="P50" s="278"/>
      <c r="R50" s="243"/>
      <c r="S50" s="243"/>
      <c r="T50" s="243"/>
      <c r="U50" s="243"/>
    </row>
    <row r="51" spans="2:21">
      <c r="B51" s="145" t="str">
        <f t="shared" si="14"/>
        <v/>
      </c>
      <c r="C51" s="495">
        <f>IF(D11="","-",+C50+1)</f>
        <v>2045</v>
      </c>
      <c r="D51" s="508">
        <f>IF(F50+SUM(E$17:E50)=D$10,F50,D$10-SUM(E$17:E50))</f>
        <v>789192.86498733249</v>
      </c>
      <c r="E51" s="509">
        <f>IF(+I14&lt;F50,I14,D51)</f>
        <v>334491.87878787878</v>
      </c>
      <c r="F51" s="510">
        <f t="shared" si="15"/>
        <v>454700.98619945371</v>
      </c>
      <c r="G51" s="511">
        <f t="shared" si="12"/>
        <v>405865.74539840303</v>
      </c>
      <c r="H51" s="477">
        <f t="shared" si="13"/>
        <v>405865.74539840303</v>
      </c>
      <c r="I51" s="500">
        <f t="shared" si="16"/>
        <v>0</v>
      </c>
      <c r="J51" s="500"/>
      <c r="K51" s="512"/>
      <c r="L51" s="504">
        <f t="shared" si="17"/>
        <v>0</v>
      </c>
      <c r="M51" s="512"/>
      <c r="N51" s="504">
        <f t="shared" si="18"/>
        <v>0</v>
      </c>
      <c r="O51" s="504">
        <f t="shared" si="19"/>
        <v>0</v>
      </c>
      <c r="P51" s="278"/>
      <c r="R51" s="243"/>
      <c r="S51" s="243"/>
      <c r="T51" s="243"/>
      <c r="U51" s="243"/>
    </row>
    <row r="52" spans="2:21">
      <c r="B52" s="145" t="str">
        <f t="shared" si="14"/>
        <v/>
      </c>
      <c r="C52" s="495">
        <f>IF(D11="","-",+C51+1)</f>
        <v>2046</v>
      </c>
      <c r="D52" s="508">
        <f>IF(F51+SUM(E$17:E51)=D$10,F51,D$10-SUM(E$17:E51))</f>
        <v>454700.98619945371</v>
      </c>
      <c r="E52" s="509">
        <f>IF(+I14&lt;F51,I14,D52)</f>
        <v>334491.87878787878</v>
      </c>
      <c r="F52" s="510">
        <f t="shared" si="15"/>
        <v>120209.10741157492</v>
      </c>
      <c r="G52" s="511">
        <f t="shared" si="12"/>
        <v>367479.86750997743</v>
      </c>
      <c r="H52" s="477">
        <f t="shared" si="13"/>
        <v>367479.86750997743</v>
      </c>
      <c r="I52" s="500">
        <f t="shared" si="16"/>
        <v>0</v>
      </c>
      <c r="J52" s="500"/>
      <c r="K52" s="512"/>
      <c r="L52" s="504">
        <f t="shared" si="17"/>
        <v>0</v>
      </c>
      <c r="M52" s="512"/>
      <c r="N52" s="504">
        <f t="shared" si="18"/>
        <v>0</v>
      </c>
      <c r="O52" s="504">
        <f t="shared" si="19"/>
        <v>0</v>
      </c>
      <c r="P52" s="278"/>
      <c r="R52" s="243"/>
      <c r="S52" s="243"/>
      <c r="T52" s="243"/>
      <c r="U52" s="243"/>
    </row>
    <row r="53" spans="2:21">
      <c r="B53" s="145" t="str">
        <f t="shared" si="14"/>
        <v/>
      </c>
      <c r="C53" s="495">
        <f>IF(D11="","-",+C52+1)</f>
        <v>2047</v>
      </c>
      <c r="D53" s="508">
        <f>IF(F52+SUM(E$17:E52)=D$10,F52,D$10-SUM(E$17:E52))</f>
        <v>120209.10741157492</v>
      </c>
      <c r="E53" s="509">
        <f>IF(+I14&lt;F52,I14,D53)</f>
        <v>120209.10741157492</v>
      </c>
      <c r="F53" s="510">
        <f t="shared" si="15"/>
        <v>0</v>
      </c>
      <c r="G53" s="511">
        <f t="shared" si="12"/>
        <v>127106.63230051786</v>
      </c>
      <c r="H53" s="477">
        <f t="shared" si="13"/>
        <v>127106.63230051786</v>
      </c>
      <c r="I53" s="500">
        <f t="shared" si="16"/>
        <v>0</v>
      </c>
      <c r="J53" s="500"/>
      <c r="K53" s="512"/>
      <c r="L53" s="504">
        <f t="shared" si="17"/>
        <v>0</v>
      </c>
      <c r="M53" s="512"/>
      <c r="N53" s="504">
        <f t="shared" si="18"/>
        <v>0</v>
      </c>
      <c r="O53" s="504">
        <f t="shared" si="19"/>
        <v>0</v>
      </c>
      <c r="P53" s="278"/>
      <c r="R53" s="243"/>
      <c r="S53" s="243"/>
      <c r="T53" s="243"/>
      <c r="U53" s="243"/>
    </row>
    <row r="54" spans="2:21">
      <c r="B54" s="145" t="str">
        <f t="shared" si="14"/>
        <v/>
      </c>
      <c r="C54" s="495">
        <f>IF(D11="","-",+C53+1)</f>
        <v>2048</v>
      </c>
      <c r="D54" s="508">
        <f>IF(F53+SUM(E$17:E53)=D$10,F53,D$10-SUM(E$17:E53))</f>
        <v>0</v>
      </c>
      <c r="E54" s="509">
        <f>IF(+I14&lt;F53,I14,D54)</f>
        <v>0</v>
      </c>
      <c r="F54" s="510">
        <f t="shared" si="15"/>
        <v>0</v>
      </c>
      <c r="G54" s="511">
        <f t="shared" si="12"/>
        <v>0</v>
      </c>
      <c r="H54" s="477">
        <f t="shared" si="13"/>
        <v>0</v>
      </c>
      <c r="I54" s="500">
        <f t="shared" si="16"/>
        <v>0</v>
      </c>
      <c r="J54" s="500"/>
      <c r="K54" s="512"/>
      <c r="L54" s="504">
        <f t="shared" si="17"/>
        <v>0</v>
      </c>
      <c r="M54" s="512"/>
      <c r="N54" s="504">
        <f t="shared" si="18"/>
        <v>0</v>
      </c>
      <c r="O54" s="504">
        <f t="shared" si="19"/>
        <v>0</v>
      </c>
      <c r="P54" s="278"/>
      <c r="R54" s="243"/>
      <c r="S54" s="243"/>
      <c r="T54" s="243"/>
      <c r="U54" s="243"/>
    </row>
    <row r="55" spans="2:21">
      <c r="B55" s="145" t="str">
        <f t="shared" si="14"/>
        <v/>
      </c>
      <c r="C55" s="495">
        <f>IF(D11="","-",+C54+1)</f>
        <v>2049</v>
      </c>
      <c r="D55" s="508">
        <f>IF(F54+SUM(E$17:E54)=D$10,F54,D$10-SUM(E$17:E54))</f>
        <v>0</v>
      </c>
      <c r="E55" s="509">
        <f>IF(+I14&lt;F54,I14,D55)</f>
        <v>0</v>
      </c>
      <c r="F55" s="510">
        <f t="shared" si="15"/>
        <v>0</v>
      </c>
      <c r="G55" s="511">
        <f t="shared" si="12"/>
        <v>0</v>
      </c>
      <c r="H55" s="477">
        <f t="shared" si="13"/>
        <v>0</v>
      </c>
      <c r="I55" s="500">
        <f t="shared" si="16"/>
        <v>0</v>
      </c>
      <c r="J55" s="500"/>
      <c r="K55" s="512"/>
      <c r="L55" s="504">
        <f t="shared" si="17"/>
        <v>0</v>
      </c>
      <c r="M55" s="512"/>
      <c r="N55" s="504">
        <f t="shared" si="18"/>
        <v>0</v>
      </c>
      <c r="O55" s="504">
        <f t="shared" si="19"/>
        <v>0</v>
      </c>
      <c r="P55" s="278"/>
      <c r="R55" s="243"/>
      <c r="S55" s="243"/>
      <c r="T55" s="243"/>
      <c r="U55" s="243"/>
    </row>
    <row r="56" spans="2:21">
      <c r="B56" s="145" t="str">
        <f t="shared" si="14"/>
        <v/>
      </c>
      <c r="C56" s="495">
        <f>IF(D11="","-",+C55+1)</f>
        <v>2050</v>
      </c>
      <c r="D56" s="508">
        <f>IF(F55+SUM(E$17:E55)=D$10,F55,D$10-SUM(E$17:E55))</f>
        <v>0</v>
      </c>
      <c r="E56" s="509">
        <f>IF(+I14&lt;F55,I14,D56)</f>
        <v>0</v>
      </c>
      <c r="F56" s="510">
        <f t="shared" si="15"/>
        <v>0</v>
      </c>
      <c r="G56" s="511">
        <f t="shared" si="12"/>
        <v>0</v>
      </c>
      <c r="H56" s="477">
        <f t="shared" si="13"/>
        <v>0</v>
      </c>
      <c r="I56" s="500">
        <f t="shared" si="16"/>
        <v>0</v>
      </c>
      <c r="J56" s="500"/>
      <c r="K56" s="512"/>
      <c r="L56" s="504">
        <f t="shared" si="17"/>
        <v>0</v>
      </c>
      <c r="M56" s="512"/>
      <c r="N56" s="504">
        <f t="shared" si="18"/>
        <v>0</v>
      </c>
      <c r="O56" s="504">
        <f t="shared" si="19"/>
        <v>0</v>
      </c>
      <c r="P56" s="278"/>
      <c r="R56" s="243"/>
      <c r="S56" s="243"/>
      <c r="T56" s="243"/>
      <c r="U56" s="243"/>
    </row>
    <row r="57" spans="2:21">
      <c r="B57" s="145" t="str">
        <f t="shared" si="14"/>
        <v/>
      </c>
      <c r="C57" s="495">
        <f>IF(D11="","-",+C56+1)</f>
        <v>2051</v>
      </c>
      <c r="D57" s="508">
        <f>IF(F56+SUM(E$17:E56)=D$10,F56,D$10-SUM(E$17:E56))</f>
        <v>0</v>
      </c>
      <c r="E57" s="509">
        <f>IF(+I14&lt;F56,I14,D57)</f>
        <v>0</v>
      </c>
      <c r="F57" s="510">
        <f t="shared" si="15"/>
        <v>0</v>
      </c>
      <c r="G57" s="511">
        <f t="shared" si="12"/>
        <v>0</v>
      </c>
      <c r="H57" s="477">
        <f t="shared" si="13"/>
        <v>0</v>
      </c>
      <c r="I57" s="500">
        <f t="shared" si="16"/>
        <v>0</v>
      </c>
      <c r="J57" s="500"/>
      <c r="K57" s="512"/>
      <c r="L57" s="504">
        <f t="shared" si="17"/>
        <v>0</v>
      </c>
      <c r="M57" s="512"/>
      <c r="N57" s="504">
        <f t="shared" si="18"/>
        <v>0</v>
      </c>
      <c r="O57" s="504">
        <f t="shared" si="19"/>
        <v>0</v>
      </c>
      <c r="P57" s="278"/>
      <c r="R57" s="243"/>
      <c r="S57" s="243"/>
      <c r="T57" s="243"/>
      <c r="U57" s="243"/>
    </row>
    <row r="58" spans="2:21">
      <c r="B58" s="145" t="str">
        <f t="shared" si="14"/>
        <v/>
      </c>
      <c r="C58" s="495">
        <f>IF(D11="","-",+C57+1)</f>
        <v>2052</v>
      </c>
      <c r="D58" s="508">
        <f>IF(F57+SUM(E$17:E57)=D$10,F57,D$10-SUM(E$17:E57))</f>
        <v>0</v>
      </c>
      <c r="E58" s="509">
        <f>IF(+I14&lt;F57,I14,D58)</f>
        <v>0</v>
      </c>
      <c r="F58" s="510">
        <f t="shared" si="15"/>
        <v>0</v>
      </c>
      <c r="G58" s="511">
        <f t="shared" si="12"/>
        <v>0</v>
      </c>
      <c r="H58" s="477">
        <f t="shared" si="13"/>
        <v>0</v>
      </c>
      <c r="I58" s="500">
        <f t="shared" si="16"/>
        <v>0</v>
      </c>
      <c r="J58" s="500"/>
      <c r="K58" s="512"/>
      <c r="L58" s="504">
        <f t="shared" si="17"/>
        <v>0</v>
      </c>
      <c r="M58" s="512"/>
      <c r="N58" s="504">
        <f t="shared" si="18"/>
        <v>0</v>
      </c>
      <c r="O58" s="504">
        <f t="shared" si="19"/>
        <v>0</v>
      </c>
      <c r="P58" s="278"/>
      <c r="R58" s="243"/>
      <c r="S58" s="243"/>
      <c r="T58" s="243"/>
      <c r="U58" s="243"/>
    </row>
    <row r="59" spans="2:21">
      <c r="B59" s="145" t="str">
        <f t="shared" si="14"/>
        <v/>
      </c>
      <c r="C59" s="495">
        <f>IF(D11="","-",+C58+1)</f>
        <v>2053</v>
      </c>
      <c r="D59" s="508">
        <f>IF(F58+SUM(E$17:E58)=D$10,F58,D$10-SUM(E$17:E58))</f>
        <v>0</v>
      </c>
      <c r="E59" s="509">
        <f>IF(+I14&lt;F58,I14,D59)</f>
        <v>0</v>
      </c>
      <c r="F59" s="510">
        <f t="shared" si="15"/>
        <v>0</v>
      </c>
      <c r="G59" s="511">
        <f t="shared" si="12"/>
        <v>0</v>
      </c>
      <c r="H59" s="477">
        <f t="shared" si="13"/>
        <v>0</v>
      </c>
      <c r="I59" s="500">
        <f t="shared" si="16"/>
        <v>0</v>
      </c>
      <c r="J59" s="500"/>
      <c r="K59" s="512"/>
      <c r="L59" s="504">
        <f t="shared" si="17"/>
        <v>0</v>
      </c>
      <c r="M59" s="512"/>
      <c r="N59" s="504">
        <f t="shared" si="18"/>
        <v>0</v>
      </c>
      <c r="O59" s="504">
        <f t="shared" si="19"/>
        <v>0</v>
      </c>
      <c r="P59" s="278"/>
      <c r="R59" s="243"/>
      <c r="S59" s="243"/>
      <c r="T59" s="243"/>
      <c r="U59" s="243"/>
    </row>
    <row r="60" spans="2:21">
      <c r="B60" s="145" t="str">
        <f t="shared" si="14"/>
        <v/>
      </c>
      <c r="C60" s="495">
        <f>IF(D11="","-",+C59+1)</f>
        <v>2054</v>
      </c>
      <c r="D60" s="508">
        <f>IF(F59+SUM(E$17:E59)=D$10,F59,D$10-SUM(E$17:E59))</f>
        <v>0</v>
      </c>
      <c r="E60" s="509">
        <f>IF(+I14&lt;F59,I14,D60)</f>
        <v>0</v>
      </c>
      <c r="F60" s="510">
        <f t="shared" si="15"/>
        <v>0</v>
      </c>
      <c r="G60" s="511">
        <f t="shared" si="12"/>
        <v>0</v>
      </c>
      <c r="H60" s="477">
        <f t="shared" si="13"/>
        <v>0</v>
      </c>
      <c r="I60" s="500">
        <f t="shared" si="16"/>
        <v>0</v>
      </c>
      <c r="J60" s="500"/>
      <c r="K60" s="512"/>
      <c r="L60" s="504">
        <f t="shared" si="17"/>
        <v>0</v>
      </c>
      <c r="M60" s="512"/>
      <c r="N60" s="504">
        <f t="shared" si="18"/>
        <v>0</v>
      </c>
      <c r="O60" s="504">
        <f t="shared" si="19"/>
        <v>0</v>
      </c>
      <c r="P60" s="278"/>
      <c r="R60" s="243"/>
      <c r="S60" s="243"/>
      <c r="T60" s="243"/>
      <c r="U60" s="243"/>
    </row>
    <row r="61" spans="2:21">
      <c r="B61" s="145" t="str">
        <f t="shared" si="14"/>
        <v/>
      </c>
      <c r="C61" s="495">
        <f>IF(D11="","-",+C60+1)</f>
        <v>2055</v>
      </c>
      <c r="D61" s="508">
        <f>IF(F60+SUM(E$17:E60)=D$10,F60,D$10-SUM(E$17:E60))</f>
        <v>0</v>
      </c>
      <c r="E61" s="509">
        <f>IF(+I14&lt;F60,I14,D61)</f>
        <v>0</v>
      </c>
      <c r="F61" s="510">
        <f t="shared" si="15"/>
        <v>0</v>
      </c>
      <c r="G61" s="511">
        <f t="shared" si="12"/>
        <v>0</v>
      </c>
      <c r="H61" s="477">
        <f t="shared" si="13"/>
        <v>0</v>
      </c>
      <c r="I61" s="500">
        <f t="shared" si="16"/>
        <v>0</v>
      </c>
      <c r="J61" s="500"/>
      <c r="K61" s="512"/>
      <c r="L61" s="504">
        <f t="shared" si="17"/>
        <v>0</v>
      </c>
      <c r="M61" s="512"/>
      <c r="N61" s="504">
        <f t="shared" si="18"/>
        <v>0</v>
      </c>
      <c r="O61" s="504">
        <f t="shared" si="19"/>
        <v>0</v>
      </c>
      <c r="P61" s="278"/>
      <c r="R61" s="243"/>
      <c r="S61" s="243"/>
      <c r="T61" s="243"/>
      <c r="U61" s="243"/>
    </row>
    <row r="62" spans="2:21">
      <c r="B62" s="145" t="str">
        <f t="shared" si="14"/>
        <v/>
      </c>
      <c r="C62" s="495">
        <f>IF(D11="","-",+C61+1)</f>
        <v>2056</v>
      </c>
      <c r="D62" s="508">
        <f>IF(F61+SUM(E$17:E61)=D$10,F61,D$10-SUM(E$17:E61))</f>
        <v>0</v>
      </c>
      <c r="E62" s="509">
        <f>IF(+I14&lt;F61,I14,D62)</f>
        <v>0</v>
      </c>
      <c r="F62" s="510">
        <f t="shared" si="15"/>
        <v>0</v>
      </c>
      <c r="G62" s="523">
        <f t="shared" si="12"/>
        <v>0</v>
      </c>
      <c r="H62" s="477">
        <f t="shared" si="13"/>
        <v>0</v>
      </c>
      <c r="I62" s="500">
        <f t="shared" si="16"/>
        <v>0</v>
      </c>
      <c r="J62" s="500"/>
      <c r="K62" s="512"/>
      <c r="L62" s="504">
        <f t="shared" si="17"/>
        <v>0</v>
      </c>
      <c r="M62" s="512"/>
      <c r="N62" s="504">
        <f t="shared" si="18"/>
        <v>0</v>
      </c>
      <c r="O62" s="504">
        <f t="shared" si="19"/>
        <v>0</v>
      </c>
      <c r="P62" s="278"/>
      <c r="R62" s="243"/>
      <c r="S62" s="243"/>
      <c r="T62" s="243"/>
      <c r="U62" s="243"/>
    </row>
    <row r="63" spans="2:21">
      <c r="B63" s="145" t="str">
        <f t="shared" si="14"/>
        <v/>
      </c>
      <c r="C63" s="495">
        <f>IF(D11="","-",+C62+1)</f>
        <v>2057</v>
      </c>
      <c r="D63" s="508">
        <f>IF(F62+SUM(E$17:E62)=D$10,F62,D$10-SUM(E$17:E62))</f>
        <v>0</v>
      </c>
      <c r="E63" s="509">
        <f>IF(+I14&lt;F62,I14,D63)</f>
        <v>0</v>
      </c>
      <c r="F63" s="510">
        <f t="shared" si="15"/>
        <v>0</v>
      </c>
      <c r="G63" s="523">
        <f t="shared" si="12"/>
        <v>0</v>
      </c>
      <c r="H63" s="477">
        <f t="shared" si="13"/>
        <v>0</v>
      </c>
      <c r="I63" s="500">
        <f t="shared" si="16"/>
        <v>0</v>
      </c>
      <c r="J63" s="500"/>
      <c r="K63" s="512"/>
      <c r="L63" s="504">
        <f t="shared" si="17"/>
        <v>0</v>
      </c>
      <c r="M63" s="512"/>
      <c r="N63" s="504">
        <f t="shared" si="18"/>
        <v>0</v>
      </c>
      <c r="O63" s="504">
        <f t="shared" si="19"/>
        <v>0</v>
      </c>
      <c r="P63" s="278"/>
      <c r="R63" s="243"/>
      <c r="S63" s="243"/>
      <c r="T63" s="243"/>
      <c r="U63" s="243"/>
    </row>
    <row r="64" spans="2:21">
      <c r="B64" s="145" t="str">
        <f t="shared" si="14"/>
        <v/>
      </c>
      <c r="C64" s="495">
        <f>IF(D11="","-",+C63+1)</f>
        <v>2058</v>
      </c>
      <c r="D64" s="508">
        <f>IF(F63+SUM(E$17:E63)=D$10,F63,D$10-SUM(E$17:E63))</f>
        <v>0</v>
      </c>
      <c r="E64" s="509">
        <f>IF(+I14&lt;F63,I14,D64)</f>
        <v>0</v>
      </c>
      <c r="F64" s="510">
        <f t="shared" si="15"/>
        <v>0</v>
      </c>
      <c r="G64" s="523">
        <f t="shared" si="12"/>
        <v>0</v>
      </c>
      <c r="H64" s="477">
        <f t="shared" si="13"/>
        <v>0</v>
      </c>
      <c r="I64" s="500">
        <f t="shared" si="16"/>
        <v>0</v>
      </c>
      <c r="J64" s="500"/>
      <c r="K64" s="512"/>
      <c r="L64" s="504">
        <f t="shared" si="17"/>
        <v>0</v>
      </c>
      <c r="M64" s="512"/>
      <c r="N64" s="504">
        <f t="shared" si="18"/>
        <v>0</v>
      </c>
      <c r="O64" s="504">
        <f t="shared" si="19"/>
        <v>0</v>
      </c>
      <c r="P64" s="278"/>
      <c r="R64" s="243"/>
      <c r="S64" s="243"/>
      <c r="T64" s="243"/>
      <c r="U64" s="243"/>
    </row>
    <row r="65" spans="2:21">
      <c r="B65" s="145" t="str">
        <f t="shared" si="14"/>
        <v/>
      </c>
      <c r="C65" s="495">
        <f>IF(D11="","-",+C64+1)</f>
        <v>2059</v>
      </c>
      <c r="D65" s="508">
        <f>IF(F64+SUM(E$17:E64)=D$10,F64,D$10-SUM(E$17:E64))</f>
        <v>0</v>
      </c>
      <c r="E65" s="509">
        <f>IF(+I14&lt;F64,I14,D65)</f>
        <v>0</v>
      </c>
      <c r="F65" s="510">
        <f t="shared" si="15"/>
        <v>0</v>
      </c>
      <c r="G65" s="523">
        <f t="shared" si="12"/>
        <v>0</v>
      </c>
      <c r="H65" s="477">
        <f t="shared" si="13"/>
        <v>0</v>
      </c>
      <c r="I65" s="500">
        <f t="shared" si="16"/>
        <v>0</v>
      </c>
      <c r="J65" s="500"/>
      <c r="K65" s="512"/>
      <c r="L65" s="504">
        <f t="shared" si="17"/>
        <v>0</v>
      </c>
      <c r="M65" s="512"/>
      <c r="N65" s="504">
        <f t="shared" si="18"/>
        <v>0</v>
      </c>
      <c r="O65" s="504">
        <f t="shared" si="19"/>
        <v>0</v>
      </c>
      <c r="P65" s="278"/>
      <c r="R65" s="243"/>
      <c r="S65" s="243"/>
      <c r="T65" s="243"/>
      <c r="U65" s="243"/>
    </row>
    <row r="66" spans="2:21">
      <c r="B66" s="145" t="str">
        <f t="shared" si="14"/>
        <v/>
      </c>
      <c r="C66" s="495">
        <f>IF(D11="","-",+C65+1)</f>
        <v>2060</v>
      </c>
      <c r="D66" s="508">
        <f>IF(F65+SUM(E$17:E65)=D$10,F65,D$10-SUM(E$17:E65))</f>
        <v>0</v>
      </c>
      <c r="E66" s="509">
        <f>IF(+I14&lt;F65,I14,D66)</f>
        <v>0</v>
      </c>
      <c r="F66" s="510">
        <f t="shared" si="15"/>
        <v>0</v>
      </c>
      <c r="G66" s="523">
        <f t="shared" si="12"/>
        <v>0</v>
      </c>
      <c r="H66" s="477">
        <f t="shared" si="13"/>
        <v>0</v>
      </c>
      <c r="I66" s="500">
        <f t="shared" si="16"/>
        <v>0</v>
      </c>
      <c r="J66" s="500"/>
      <c r="K66" s="512"/>
      <c r="L66" s="504">
        <f t="shared" si="17"/>
        <v>0</v>
      </c>
      <c r="M66" s="512"/>
      <c r="N66" s="504">
        <f t="shared" si="18"/>
        <v>0</v>
      </c>
      <c r="O66" s="504">
        <f t="shared" si="19"/>
        <v>0</v>
      </c>
      <c r="P66" s="278"/>
      <c r="R66" s="243"/>
      <c r="S66" s="243"/>
      <c r="T66" s="243"/>
      <c r="U66" s="243"/>
    </row>
    <row r="67" spans="2:21">
      <c r="B67" s="145" t="str">
        <f t="shared" si="14"/>
        <v/>
      </c>
      <c r="C67" s="495">
        <f>IF(D11="","-",+C66+1)</f>
        <v>2061</v>
      </c>
      <c r="D67" s="508">
        <f>IF(F66+SUM(E$17:E66)=D$10,F66,D$10-SUM(E$17:E66))</f>
        <v>0</v>
      </c>
      <c r="E67" s="509">
        <f>IF(+I14&lt;F66,I14,D67)</f>
        <v>0</v>
      </c>
      <c r="F67" s="510">
        <f t="shared" si="15"/>
        <v>0</v>
      </c>
      <c r="G67" s="523">
        <f t="shared" si="12"/>
        <v>0</v>
      </c>
      <c r="H67" s="477">
        <f t="shared" si="13"/>
        <v>0</v>
      </c>
      <c r="I67" s="500">
        <f t="shared" si="16"/>
        <v>0</v>
      </c>
      <c r="J67" s="500"/>
      <c r="K67" s="512"/>
      <c r="L67" s="504">
        <f t="shared" si="17"/>
        <v>0</v>
      </c>
      <c r="M67" s="512"/>
      <c r="N67" s="504">
        <f t="shared" si="18"/>
        <v>0</v>
      </c>
      <c r="O67" s="504">
        <f t="shared" si="19"/>
        <v>0</v>
      </c>
      <c r="P67" s="278"/>
      <c r="R67" s="243"/>
      <c r="S67" s="243"/>
      <c r="T67" s="243"/>
      <c r="U67" s="243"/>
    </row>
    <row r="68" spans="2:21">
      <c r="B68" s="145" t="str">
        <f t="shared" si="14"/>
        <v/>
      </c>
      <c r="C68" s="495">
        <f>IF(D11="","-",+C67+1)</f>
        <v>2062</v>
      </c>
      <c r="D68" s="508">
        <f>IF(F67+SUM(E$17:E67)=D$10,F67,D$10-SUM(E$17:E67))</f>
        <v>0</v>
      </c>
      <c r="E68" s="509">
        <f>IF(+I14&lt;F67,I14,D68)</f>
        <v>0</v>
      </c>
      <c r="F68" s="510">
        <f t="shared" si="15"/>
        <v>0</v>
      </c>
      <c r="G68" s="523">
        <f t="shared" si="12"/>
        <v>0</v>
      </c>
      <c r="H68" s="477">
        <f t="shared" si="13"/>
        <v>0</v>
      </c>
      <c r="I68" s="500">
        <f t="shared" si="16"/>
        <v>0</v>
      </c>
      <c r="J68" s="500"/>
      <c r="K68" s="512"/>
      <c r="L68" s="504">
        <f t="shared" si="17"/>
        <v>0</v>
      </c>
      <c r="M68" s="512"/>
      <c r="N68" s="504">
        <f t="shared" si="18"/>
        <v>0</v>
      </c>
      <c r="O68" s="504">
        <f t="shared" si="19"/>
        <v>0</v>
      </c>
      <c r="P68" s="278"/>
      <c r="R68" s="243"/>
      <c r="S68" s="243"/>
      <c r="T68" s="243"/>
      <c r="U68" s="243"/>
    </row>
    <row r="69" spans="2:21">
      <c r="B69" s="145" t="str">
        <f t="shared" si="14"/>
        <v/>
      </c>
      <c r="C69" s="495">
        <f>IF(D11="","-",+C68+1)</f>
        <v>2063</v>
      </c>
      <c r="D69" s="508">
        <f>IF(F68+SUM(E$17:E68)=D$10,F68,D$10-SUM(E$17:E68))</f>
        <v>0</v>
      </c>
      <c r="E69" s="509">
        <f>IF(+I14&lt;F68,I14,D69)</f>
        <v>0</v>
      </c>
      <c r="F69" s="510">
        <f t="shared" si="15"/>
        <v>0</v>
      </c>
      <c r="G69" s="523">
        <f t="shared" si="12"/>
        <v>0</v>
      </c>
      <c r="H69" s="477">
        <f t="shared" si="13"/>
        <v>0</v>
      </c>
      <c r="I69" s="500">
        <f t="shared" si="16"/>
        <v>0</v>
      </c>
      <c r="J69" s="500"/>
      <c r="K69" s="512"/>
      <c r="L69" s="504">
        <f t="shared" si="17"/>
        <v>0</v>
      </c>
      <c r="M69" s="512"/>
      <c r="N69" s="504">
        <f t="shared" si="18"/>
        <v>0</v>
      </c>
      <c r="O69" s="504">
        <f t="shared" si="19"/>
        <v>0</v>
      </c>
      <c r="P69" s="278"/>
      <c r="R69" s="243"/>
      <c r="S69" s="243"/>
      <c r="T69" s="243"/>
      <c r="U69" s="243"/>
    </row>
    <row r="70" spans="2:21">
      <c r="B70" s="145" t="str">
        <f t="shared" si="14"/>
        <v/>
      </c>
      <c r="C70" s="495">
        <f>IF(D11="","-",+C69+1)</f>
        <v>2064</v>
      </c>
      <c r="D70" s="508">
        <f>IF(F69+SUM(E$17:E69)=D$10,F69,D$10-SUM(E$17:E69))</f>
        <v>0</v>
      </c>
      <c r="E70" s="509">
        <f>IF(+I14&lt;F69,I14,D70)</f>
        <v>0</v>
      </c>
      <c r="F70" s="510">
        <f t="shared" si="15"/>
        <v>0</v>
      </c>
      <c r="G70" s="523">
        <f t="shared" si="12"/>
        <v>0</v>
      </c>
      <c r="H70" s="477">
        <f t="shared" si="13"/>
        <v>0</v>
      </c>
      <c r="I70" s="500">
        <f t="shared" si="16"/>
        <v>0</v>
      </c>
      <c r="J70" s="500"/>
      <c r="K70" s="512"/>
      <c r="L70" s="504">
        <f t="shared" si="17"/>
        <v>0</v>
      </c>
      <c r="M70" s="512"/>
      <c r="N70" s="504">
        <f t="shared" si="18"/>
        <v>0</v>
      </c>
      <c r="O70" s="504">
        <f t="shared" si="19"/>
        <v>0</v>
      </c>
      <c r="P70" s="278"/>
      <c r="R70" s="243"/>
      <c r="S70" s="243"/>
      <c r="T70" s="243"/>
      <c r="U70" s="243"/>
    </row>
    <row r="71" spans="2:21">
      <c r="B71" s="145" t="str">
        <f t="shared" si="14"/>
        <v/>
      </c>
      <c r="C71" s="495">
        <f>IF(D11="","-",+C70+1)</f>
        <v>2065</v>
      </c>
      <c r="D71" s="508">
        <f>IF(F70+SUM(E$17:E70)=D$10,F70,D$10-SUM(E$17:E70))</f>
        <v>0</v>
      </c>
      <c r="E71" s="509">
        <f>IF(+I14&lt;F70,I14,D71)</f>
        <v>0</v>
      </c>
      <c r="F71" s="510">
        <f t="shared" si="15"/>
        <v>0</v>
      </c>
      <c r="G71" s="523">
        <f t="shared" si="12"/>
        <v>0</v>
      </c>
      <c r="H71" s="477">
        <f t="shared" si="13"/>
        <v>0</v>
      </c>
      <c r="I71" s="500">
        <f t="shared" si="16"/>
        <v>0</v>
      </c>
      <c r="J71" s="500"/>
      <c r="K71" s="512"/>
      <c r="L71" s="504">
        <f t="shared" si="17"/>
        <v>0</v>
      </c>
      <c r="M71" s="512"/>
      <c r="N71" s="504">
        <f t="shared" si="18"/>
        <v>0</v>
      </c>
      <c r="O71" s="504">
        <f t="shared" si="19"/>
        <v>0</v>
      </c>
      <c r="P71" s="278"/>
      <c r="R71" s="243"/>
      <c r="S71" s="243"/>
      <c r="T71" s="243"/>
      <c r="U71" s="243"/>
    </row>
    <row r="72" spans="2:21">
      <c r="B72" s="145" t="str">
        <f t="shared" si="14"/>
        <v/>
      </c>
      <c r="C72" s="495">
        <f>IF(D11="","-",+C71+1)</f>
        <v>2066</v>
      </c>
      <c r="D72" s="508">
        <f>IF(F71+SUM(E$17:E71)=D$10,F71,D$10-SUM(E$17:E71))</f>
        <v>0</v>
      </c>
      <c r="E72" s="509">
        <f>IF(+I14&lt;F71,I14,D72)</f>
        <v>0</v>
      </c>
      <c r="F72" s="510">
        <f t="shared" si="15"/>
        <v>0</v>
      </c>
      <c r="G72" s="523">
        <f t="shared" si="12"/>
        <v>0</v>
      </c>
      <c r="H72" s="477">
        <f t="shared" si="13"/>
        <v>0</v>
      </c>
      <c r="I72" s="500">
        <f t="shared" si="16"/>
        <v>0</v>
      </c>
      <c r="J72" s="500"/>
      <c r="K72" s="512"/>
      <c r="L72" s="504">
        <f t="shared" si="17"/>
        <v>0</v>
      </c>
      <c r="M72" s="512"/>
      <c r="N72" s="504">
        <f t="shared" si="18"/>
        <v>0</v>
      </c>
      <c r="O72" s="504">
        <f t="shared" si="19"/>
        <v>0</v>
      </c>
      <c r="P72" s="278"/>
      <c r="R72" s="243"/>
      <c r="S72" s="243"/>
      <c r="T72" s="243"/>
      <c r="U72" s="243"/>
    </row>
    <row r="73" spans="2:21" ht="13.5" thickBot="1">
      <c r="B73" s="145" t="str">
        <f t="shared" si="14"/>
        <v/>
      </c>
      <c r="C73" s="524">
        <f>IF(D11="","-",+C72+1)</f>
        <v>2067</v>
      </c>
      <c r="D73" s="525">
        <f>IF(F72+SUM(E$17:E72)=D$10,F72,D$10-SUM(E$17:E72))</f>
        <v>0</v>
      </c>
      <c r="E73" s="526">
        <f>IF(+I14&lt;F72,I14,D73)</f>
        <v>0</v>
      </c>
      <c r="F73" s="527">
        <f t="shared" si="15"/>
        <v>0</v>
      </c>
      <c r="G73" s="528">
        <f t="shared" si="12"/>
        <v>0</v>
      </c>
      <c r="H73" s="458">
        <f t="shared" si="13"/>
        <v>0</v>
      </c>
      <c r="I73" s="529">
        <f t="shared" si="16"/>
        <v>0</v>
      </c>
      <c r="J73" s="500"/>
      <c r="K73" s="530"/>
      <c r="L73" s="531">
        <f t="shared" si="17"/>
        <v>0</v>
      </c>
      <c r="M73" s="530"/>
      <c r="N73" s="531">
        <f t="shared" si="18"/>
        <v>0</v>
      </c>
      <c r="O73" s="531">
        <f t="shared" si="19"/>
        <v>0</v>
      </c>
      <c r="P73" s="278"/>
      <c r="R73" s="243"/>
      <c r="S73" s="243"/>
      <c r="T73" s="243"/>
      <c r="U73" s="243"/>
    </row>
    <row r="74" spans="2:21">
      <c r="C74" s="349" t="s">
        <v>75</v>
      </c>
      <c r="D74" s="294"/>
      <c r="E74" s="294">
        <f>SUM(E17:E73)</f>
        <v>11038232</v>
      </c>
      <c r="F74" s="294"/>
      <c r="G74" s="294">
        <f>SUM(G17:G73)</f>
        <v>35859610.614496239</v>
      </c>
      <c r="H74" s="294">
        <f>SUM(H17:H73)</f>
        <v>35859610.614496239</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533" t="str">
        <f ca="1">P1</f>
        <v>OKT Project 4 of 23</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2020</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1273577.8300042083</v>
      </c>
      <c r="N88" s="544">
        <f>IF(J93&lt;D11,0,VLOOKUP(J93,C17:O73,11))</f>
        <v>1273577.8300042083</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1330289.5929866973</v>
      </c>
      <c r="N89" s="548">
        <f>IF(J93&lt;D11,0,VLOOKUP(J93,C100:P155,7))</f>
        <v>1330289.5929866973</v>
      </c>
      <c r="O89" s="549">
        <f>+N89-M89</f>
        <v>0</v>
      </c>
      <c r="P89" s="243"/>
      <c r="Q89" s="243"/>
      <c r="R89" s="243"/>
      <c r="S89" s="243"/>
      <c r="T89" s="243"/>
      <c r="U89" s="243"/>
    </row>
    <row r="90" spans="1:21" ht="13.5" thickBot="1">
      <c r="C90" s="454" t="s">
        <v>82</v>
      </c>
      <c r="D90" s="550" t="str">
        <f>+D7</f>
        <v xml:space="preserve">Bartlesville SE to Coffeyville T Rebuild </v>
      </c>
      <c r="E90" s="243"/>
      <c r="F90" s="243"/>
      <c r="G90" s="243"/>
      <c r="H90" s="243"/>
      <c r="I90" s="325"/>
      <c r="J90" s="325"/>
      <c r="K90" s="551"/>
      <c r="L90" s="552" t="s">
        <v>135</v>
      </c>
      <c r="M90" s="553">
        <f>+M89-M88</f>
        <v>56711.762982489076</v>
      </c>
      <c r="N90" s="553">
        <f>+N89-N88</f>
        <v>56711.762982489076</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TP2008079</v>
      </c>
      <c r="E92" s="558"/>
      <c r="F92" s="558"/>
      <c r="G92" s="558"/>
      <c r="H92" s="558"/>
      <c r="I92" s="558"/>
      <c r="J92" s="558"/>
      <c r="K92" s="560"/>
      <c r="P92" s="468"/>
      <c r="Q92" s="243"/>
      <c r="R92" s="243"/>
      <c r="S92" s="243"/>
      <c r="T92" s="243"/>
      <c r="U92" s="243"/>
    </row>
    <row r="93" spans="1:21">
      <c r="C93" s="472" t="s">
        <v>49</v>
      </c>
      <c r="D93" s="598">
        <f>D10</f>
        <v>11038232</v>
      </c>
      <c r="E93" s="248" t="s">
        <v>84</v>
      </c>
      <c r="H93" s="408"/>
      <c r="I93" s="408"/>
      <c r="J93" s="471">
        <f>+'OKT.WS.G.BPU.ATRR.True-up'!M16</f>
        <v>2020</v>
      </c>
      <c r="K93" s="467"/>
      <c r="L93" s="294" t="s">
        <v>85</v>
      </c>
      <c r="P93" s="278"/>
      <c r="Q93" s="243"/>
      <c r="R93" s="243"/>
      <c r="S93" s="243"/>
      <c r="T93" s="243"/>
      <c r="U93" s="243"/>
    </row>
    <row r="94" spans="1:21">
      <c r="C94" s="472" t="s">
        <v>52</v>
      </c>
      <c r="D94" s="561">
        <f>IF(D11=I10,"",D11)</f>
        <v>2011</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f>IF(D11=I10,"",D12)</f>
        <v>6</v>
      </c>
      <c r="E95" s="472" t="s">
        <v>55</v>
      </c>
      <c r="F95" s="408"/>
      <c r="G95" s="408"/>
      <c r="J95" s="476">
        <f>'OKT.WS.G.BPU.ATRR.True-up'!$F$81</f>
        <v>0.11475877389767174</v>
      </c>
      <c r="K95" s="413"/>
      <c r="L95" s="145" t="s">
        <v>86</v>
      </c>
      <c r="P95" s="278"/>
      <c r="Q95" s="243"/>
      <c r="R95" s="243"/>
      <c r="S95" s="243"/>
      <c r="T95" s="243"/>
      <c r="U95" s="243"/>
    </row>
    <row r="96" spans="1:21">
      <c r="C96" s="472" t="s">
        <v>57</v>
      </c>
      <c r="D96" s="474">
        <f>'OKT.WS.G.BPU.ATRR.True-up'!F$93</f>
        <v>21</v>
      </c>
      <c r="E96" s="472" t="s">
        <v>58</v>
      </c>
      <c r="F96" s="408"/>
      <c r="G96" s="408"/>
      <c r="J96" s="476">
        <f>IF(H88="",J95,'OKT.WS.G.BPU.ATRR.True-up'!$F$80)</f>
        <v>0.11475877389767174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525630.09523809527</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493" t="s">
        <v>71</v>
      </c>
      <c r="I99" s="489" t="s">
        <v>72</v>
      </c>
      <c r="J99" s="490" t="s">
        <v>93</v>
      </c>
      <c r="K99" s="491"/>
      <c r="L99" s="599" t="s">
        <v>74</v>
      </c>
      <c r="M99" s="599" t="s">
        <v>74</v>
      </c>
      <c r="N99" s="599" t="s">
        <v>94</v>
      </c>
      <c r="O99" s="599" t="s">
        <v>94</v>
      </c>
      <c r="P99" s="599" t="s">
        <v>94</v>
      </c>
      <c r="Q99" s="243"/>
      <c r="R99" s="243"/>
      <c r="S99" s="243"/>
      <c r="T99" s="243"/>
      <c r="U99" s="243"/>
    </row>
    <row r="100" spans="1:21">
      <c r="B100" s="145" t="str">
        <f t="shared" ref="B100:B131" si="20">IF(D100=F99,"","IU")</f>
        <v>IU</v>
      </c>
      <c r="C100" s="495">
        <f>IF(D94= "","-",D94)</f>
        <v>2011</v>
      </c>
      <c r="D100" s="496">
        <v>0</v>
      </c>
      <c r="E100" s="498">
        <v>101638.13793103448</v>
      </c>
      <c r="F100" s="505">
        <v>11688385.862068966</v>
      </c>
      <c r="G100" s="571">
        <v>5844192.931034483</v>
      </c>
      <c r="H100" s="571">
        <v>536168.05303368822</v>
      </c>
      <c r="I100" s="571">
        <v>536168.05303368822</v>
      </c>
      <c r="J100" s="504">
        <v>0</v>
      </c>
      <c r="K100" s="588"/>
      <c r="L100" s="600">
        <f t="shared" ref="L100:L105" si="21">H100</f>
        <v>536168.05303368822</v>
      </c>
      <c r="M100" s="521">
        <f t="shared" ref="M100:M131" si="22">IF(L100&lt;&gt;0,+H100-L100,0)</f>
        <v>0</v>
      </c>
      <c r="N100" s="601">
        <f t="shared" ref="N100:N105" si="23">I100</f>
        <v>536168.05303368822</v>
      </c>
      <c r="O100" s="602">
        <f t="shared" ref="O100:O131" si="24">IF(N100&lt;&gt;0,+I100-N100,0)</f>
        <v>0</v>
      </c>
      <c r="P100" s="603">
        <f t="shared" ref="P100:P131" si="25">+O100-M100</f>
        <v>0</v>
      </c>
      <c r="Q100" s="243"/>
      <c r="R100" s="243"/>
      <c r="S100" s="243"/>
      <c r="T100" s="243"/>
      <c r="U100" s="243"/>
    </row>
    <row r="101" spans="1:21">
      <c r="B101" s="145" t="str">
        <f t="shared" si="20"/>
        <v>IU</v>
      </c>
      <c r="C101" s="495">
        <f>IF(D94="","-",+C100+1)</f>
        <v>2012</v>
      </c>
      <c r="D101" s="496">
        <v>11641161.862068966</v>
      </c>
      <c r="E101" s="498">
        <v>202462.06896551725</v>
      </c>
      <c r="F101" s="505">
        <v>11438699.793103449</v>
      </c>
      <c r="G101" s="505">
        <v>11539930.827586208</v>
      </c>
      <c r="H101" s="498">
        <v>1372027.6470996495</v>
      </c>
      <c r="I101" s="499">
        <v>1372027.6470996495</v>
      </c>
      <c r="J101" s="504">
        <v>0</v>
      </c>
      <c r="K101" s="588"/>
      <c r="L101" s="592">
        <f t="shared" si="21"/>
        <v>1372027.6470996495</v>
      </c>
      <c r="M101" s="504">
        <f t="shared" ref="M101:M106" si="26">IF(L101&lt;&gt;0,+H101-L101,0)</f>
        <v>0</v>
      </c>
      <c r="N101" s="506">
        <f t="shared" si="23"/>
        <v>1372027.6470996495</v>
      </c>
      <c r="O101" s="350">
        <f>IF(N101&lt;&gt;0,+I101-N101,0)</f>
        <v>0</v>
      </c>
      <c r="P101" s="594">
        <f>+O101-M101</f>
        <v>0</v>
      </c>
      <c r="Q101" s="243"/>
      <c r="R101" s="243"/>
      <c r="S101" s="243"/>
      <c r="T101" s="243"/>
      <c r="U101" s="243"/>
    </row>
    <row r="102" spans="1:21">
      <c r="B102" s="145" t="str">
        <f t="shared" si="20"/>
        <v/>
      </c>
      <c r="C102" s="495">
        <f>IF(D94="","-",+C101+1)</f>
        <v>2013</v>
      </c>
      <c r="D102" s="496">
        <v>11438699.793103449</v>
      </c>
      <c r="E102" s="498">
        <v>202462.06896551725</v>
      </c>
      <c r="F102" s="505">
        <v>11236237.724137932</v>
      </c>
      <c r="G102" s="505">
        <v>11337468.758620691</v>
      </c>
      <c r="H102" s="498">
        <v>1491078.2600060694</v>
      </c>
      <c r="I102" s="499">
        <v>1491078.2600060694</v>
      </c>
      <c r="J102" s="504">
        <v>0</v>
      </c>
      <c r="K102" s="504"/>
      <c r="L102" s="592">
        <f t="shared" si="21"/>
        <v>1491078.2600060694</v>
      </c>
      <c r="M102" s="504">
        <f t="shared" si="26"/>
        <v>0</v>
      </c>
      <c r="N102" s="506">
        <f t="shared" si="23"/>
        <v>1491078.2600060694</v>
      </c>
      <c r="O102" s="350">
        <f>IF(N102&lt;&gt;0,+I102-N102,0)</f>
        <v>0</v>
      </c>
      <c r="P102" s="594">
        <f>+O102-M102</f>
        <v>0</v>
      </c>
      <c r="Q102" s="243"/>
      <c r="R102" s="243"/>
      <c r="S102" s="243"/>
      <c r="T102" s="243"/>
      <c r="U102" s="243"/>
    </row>
    <row r="103" spans="1:21">
      <c r="B103" s="145" t="str">
        <f t="shared" si="20"/>
        <v/>
      </c>
      <c r="C103" s="495">
        <f>IF(D94="","-",+C102+1)</f>
        <v>2014</v>
      </c>
      <c r="D103" s="496">
        <v>11236237.724137932</v>
      </c>
      <c r="E103" s="498">
        <v>202462.06896551725</v>
      </c>
      <c r="F103" s="505">
        <v>11033775.655172415</v>
      </c>
      <c r="G103" s="505">
        <v>11135006.689655174</v>
      </c>
      <c r="H103" s="498">
        <v>1399958.856395772</v>
      </c>
      <c r="I103" s="499">
        <v>1399958.856395772</v>
      </c>
      <c r="J103" s="504">
        <v>0</v>
      </c>
      <c r="K103" s="504"/>
      <c r="L103" s="592">
        <f t="shared" si="21"/>
        <v>1399958.856395772</v>
      </c>
      <c r="M103" s="504">
        <f t="shared" si="26"/>
        <v>0</v>
      </c>
      <c r="N103" s="506">
        <f t="shared" si="23"/>
        <v>1399958.856395772</v>
      </c>
      <c r="O103" s="350">
        <f>IF(N103&lt;&gt;0,+I103-N103,0)</f>
        <v>0</v>
      </c>
      <c r="P103" s="594">
        <f>+O103-M103</f>
        <v>0</v>
      </c>
      <c r="Q103" s="243"/>
      <c r="R103" s="243"/>
      <c r="S103" s="243"/>
      <c r="T103" s="243"/>
      <c r="U103" s="243"/>
    </row>
    <row r="104" spans="1:21">
      <c r="B104" s="145" t="str">
        <f t="shared" si="20"/>
        <v>IU</v>
      </c>
      <c r="C104" s="495">
        <f>IF(D94="","-",+C103+1)</f>
        <v>2015</v>
      </c>
      <c r="D104" s="496">
        <v>10329207.655172413</v>
      </c>
      <c r="E104" s="498">
        <v>229963.16666666666</v>
      </c>
      <c r="F104" s="505">
        <v>10099244.488505747</v>
      </c>
      <c r="G104" s="505">
        <v>10214226.071839079</v>
      </c>
      <c r="H104" s="498">
        <v>1367107.118762597</v>
      </c>
      <c r="I104" s="499">
        <v>1367107.118762597</v>
      </c>
      <c r="J104" s="504">
        <v>0</v>
      </c>
      <c r="K104" s="504"/>
      <c r="L104" s="592">
        <f t="shared" si="21"/>
        <v>1367107.118762597</v>
      </c>
      <c r="M104" s="504">
        <f t="shared" si="26"/>
        <v>0</v>
      </c>
      <c r="N104" s="506">
        <f t="shared" si="23"/>
        <v>1367107.118762597</v>
      </c>
      <c r="O104" s="500">
        <f t="shared" si="24"/>
        <v>0</v>
      </c>
      <c r="P104" s="504">
        <f t="shared" si="25"/>
        <v>0</v>
      </c>
      <c r="Q104" s="243"/>
      <c r="R104" s="243"/>
      <c r="S104" s="243"/>
      <c r="T104" s="243"/>
      <c r="U104" s="243"/>
    </row>
    <row r="105" spans="1:21">
      <c r="B105" s="145" t="str">
        <f t="shared" si="20"/>
        <v/>
      </c>
      <c r="C105" s="495">
        <f>IF(D94="","-",+C104+1)</f>
        <v>2016</v>
      </c>
      <c r="D105" s="496">
        <v>10099244.488505747</v>
      </c>
      <c r="E105" s="498">
        <v>216435.92156862744</v>
      </c>
      <c r="F105" s="505">
        <v>9882808.5669371206</v>
      </c>
      <c r="G105" s="505">
        <v>9991026.5277214348</v>
      </c>
      <c r="H105" s="498">
        <v>1299158.0653771381</v>
      </c>
      <c r="I105" s="499">
        <v>1299158.0653771381</v>
      </c>
      <c r="J105" s="504">
        <f t="shared" ref="J105:J131" si="27">+I105-H105</f>
        <v>0</v>
      </c>
      <c r="K105" s="504"/>
      <c r="L105" s="592">
        <f t="shared" si="21"/>
        <v>1299158.0653771381</v>
      </c>
      <c r="M105" s="504">
        <f t="shared" si="26"/>
        <v>0</v>
      </c>
      <c r="N105" s="506">
        <f t="shared" si="23"/>
        <v>1299158.0653771381</v>
      </c>
      <c r="O105" s="500">
        <f>IF(N105&lt;&gt;0,+I105-N105,0)</f>
        <v>0</v>
      </c>
      <c r="P105" s="504">
        <f>+O105-M105</f>
        <v>0</v>
      </c>
      <c r="Q105" s="243"/>
      <c r="R105" s="243"/>
      <c r="S105" s="243"/>
      <c r="T105" s="243"/>
      <c r="U105" s="243"/>
    </row>
    <row r="106" spans="1:21">
      <c r="B106" s="145" t="str">
        <f t="shared" si="20"/>
        <v/>
      </c>
      <c r="C106" s="495">
        <f>IF(D94="","-",+C105+1)</f>
        <v>2017</v>
      </c>
      <c r="D106" s="496">
        <v>9882808.5669371206</v>
      </c>
      <c r="E106" s="498">
        <v>275955.8</v>
      </c>
      <c r="F106" s="505">
        <v>9606852.7669371199</v>
      </c>
      <c r="G106" s="505">
        <v>9744830.6669371203</v>
      </c>
      <c r="H106" s="498">
        <v>1419373.9279001462</v>
      </c>
      <c r="I106" s="499">
        <v>1419373.9279001462</v>
      </c>
      <c r="J106" s="504">
        <v>0</v>
      </c>
      <c r="K106" s="504"/>
      <c r="L106" s="592">
        <f>H106</f>
        <v>1419373.9279001462</v>
      </c>
      <c r="M106" s="504">
        <f t="shared" si="26"/>
        <v>0</v>
      </c>
      <c r="N106" s="506">
        <f>I106</f>
        <v>1419373.9279001462</v>
      </c>
      <c r="O106" s="500">
        <f>IF(N106&lt;&gt;0,+I106-N106,0)</f>
        <v>0</v>
      </c>
      <c r="P106" s="504">
        <f>+O106-M106</f>
        <v>0</v>
      </c>
      <c r="Q106" s="243"/>
      <c r="R106" s="243"/>
      <c r="S106" s="243"/>
      <c r="T106" s="243"/>
      <c r="U106" s="243"/>
    </row>
    <row r="107" spans="1:21">
      <c r="B107" s="145" t="str">
        <f t="shared" si="20"/>
        <v/>
      </c>
      <c r="C107" s="495">
        <f>IF(D94="","-",+C106+1)</f>
        <v>2018</v>
      </c>
      <c r="D107" s="496">
        <v>9606852.7669371199</v>
      </c>
      <c r="E107" s="498">
        <v>306617.55555555556</v>
      </c>
      <c r="F107" s="505">
        <v>9300235.2113815639</v>
      </c>
      <c r="G107" s="505">
        <v>9453543.9891593419</v>
      </c>
      <c r="H107" s="498">
        <v>1304556.8117171286</v>
      </c>
      <c r="I107" s="499">
        <v>1304556.8117171286</v>
      </c>
      <c r="J107" s="504">
        <f t="shared" si="27"/>
        <v>0</v>
      </c>
      <c r="K107" s="504"/>
      <c r="L107" s="592">
        <f>H107</f>
        <v>1304556.8117171286</v>
      </c>
      <c r="M107" s="504">
        <f t="shared" ref="M107" si="28">IF(L107&lt;&gt;0,+H107-L107,0)</f>
        <v>0</v>
      </c>
      <c r="N107" s="506">
        <f>I107</f>
        <v>1304556.8117171286</v>
      </c>
      <c r="O107" s="500">
        <f>IF(N107&lt;&gt;0,+I107-N107,0)</f>
        <v>0</v>
      </c>
      <c r="P107" s="504">
        <f>+O107-M107</f>
        <v>0</v>
      </c>
      <c r="Q107" s="243"/>
      <c r="R107" s="243"/>
      <c r="S107" s="243"/>
      <c r="T107" s="243"/>
      <c r="U107" s="243"/>
    </row>
    <row r="108" spans="1:21">
      <c r="B108" s="145" t="str">
        <f t="shared" si="20"/>
        <v/>
      </c>
      <c r="C108" s="495">
        <f>IF(D94="","-",+C107+1)</f>
        <v>2019</v>
      </c>
      <c r="D108" s="496">
        <v>9300235.2113815639</v>
      </c>
      <c r="E108" s="498">
        <v>306617.55555555556</v>
      </c>
      <c r="F108" s="505">
        <v>8993617.6558260079</v>
      </c>
      <c r="G108" s="505">
        <v>9146926.4336037859</v>
      </c>
      <c r="H108" s="498">
        <v>1272189.5116159101</v>
      </c>
      <c r="I108" s="499">
        <v>1272189.5116159101</v>
      </c>
      <c r="J108" s="504">
        <f t="shared" si="27"/>
        <v>0</v>
      </c>
      <c r="K108" s="504"/>
      <c r="L108" s="592">
        <f>H108</f>
        <v>1272189.5116159101</v>
      </c>
      <c r="M108" s="504">
        <f t="shared" ref="M108:M109" si="29">IF(L108&lt;&gt;0,+H108-L108,0)</f>
        <v>0</v>
      </c>
      <c r="N108" s="506">
        <f>I108</f>
        <v>1272189.5116159101</v>
      </c>
      <c r="O108" s="500">
        <f>IF(N108&lt;&gt;0,+I108-N108,0)</f>
        <v>0</v>
      </c>
      <c r="P108" s="504">
        <f t="shared" si="25"/>
        <v>0</v>
      </c>
      <c r="Q108" s="243"/>
      <c r="R108" s="243"/>
      <c r="S108" s="243"/>
      <c r="T108" s="243"/>
      <c r="U108" s="243"/>
    </row>
    <row r="109" spans="1:21">
      <c r="B109" s="145" t="str">
        <f t="shared" si="20"/>
        <v/>
      </c>
      <c r="C109" s="495">
        <f>IF(D94="","-",+C108+1)</f>
        <v>2020</v>
      </c>
      <c r="D109" s="496">
        <v>8993617.6558260079</v>
      </c>
      <c r="E109" s="498">
        <v>394222.57142857142</v>
      </c>
      <c r="F109" s="505">
        <v>8599395.0843974371</v>
      </c>
      <c r="G109" s="505">
        <v>8796506.3701117225</v>
      </c>
      <c r="H109" s="498">
        <v>1330289.5929866973</v>
      </c>
      <c r="I109" s="499">
        <v>1330289.5929866973</v>
      </c>
      <c r="J109" s="504">
        <f t="shared" si="27"/>
        <v>0</v>
      </c>
      <c r="K109" s="504"/>
      <c r="L109" s="592">
        <f>H109</f>
        <v>1330289.5929866973</v>
      </c>
      <c r="M109" s="504">
        <f t="shared" si="29"/>
        <v>0</v>
      </c>
      <c r="N109" s="506">
        <f>I109</f>
        <v>1330289.5929866973</v>
      </c>
      <c r="O109" s="500">
        <f>IF(N109&lt;&gt;0,+I109-N109,0)</f>
        <v>0</v>
      </c>
      <c r="P109" s="504">
        <f t="shared" si="25"/>
        <v>0</v>
      </c>
      <c r="Q109" s="243"/>
      <c r="R109" s="243"/>
      <c r="S109" s="243"/>
      <c r="T109" s="243"/>
      <c r="U109" s="243"/>
    </row>
    <row r="110" spans="1:21">
      <c r="B110" s="145" t="str">
        <f t="shared" si="20"/>
        <v/>
      </c>
      <c r="C110" s="495">
        <f>IF(D94="","-",+C109+1)</f>
        <v>2021</v>
      </c>
      <c r="D110" s="349">
        <f>IF(F109+SUM(E$100:E109)=D$93,F109,D$93-SUM(E$100:E109))</f>
        <v>8599395.0843974371</v>
      </c>
      <c r="E110" s="509">
        <f>IF(+J97&lt;F109,J97,D110)</f>
        <v>525630.09523809527</v>
      </c>
      <c r="F110" s="510">
        <f t="shared" ref="F110:F132" si="30">+D110-E110</f>
        <v>8073764.9891593419</v>
      </c>
      <c r="G110" s="510">
        <f t="shared" ref="G110:G131" si="31">+(F110+D110)/2</f>
        <v>8336580.0367783895</v>
      </c>
      <c r="H110" s="523">
        <f t="shared" ref="H110:H131" si="32">+J$95*G110+E110</f>
        <v>1482325.7987585904</v>
      </c>
      <c r="I110" s="572">
        <f t="shared" ref="I110:I131" si="33">+J$96*G110+E110</f>
        <v>1482325.7987585904</v>
      </c>
      <c r="J110" s="504">
        <f t="shared" si="27"/>
        <v>0</v>
      </c>
      <c r="K110" s="504"/>
      <c r="L110" s="512"/>
      <c r="M110" s="504">
        <f t="shared" si="22"/>
        <v>0</v>
      </c>
      <c r="N110" s="512"/>
      <c r="O110" s="504">
        <f t="shared" si="24"/>
        <v>0</v>
      </c>
      <c r="P110" s="504">
        <f t="shared" si="25"/>
        <v>0</v>
      </c>
      <c r="Q110" s="243"/>
      <c r="R110" s="243"/>
      <c r="S110" s="243"/>
      <c r="T110" s="243"/>
      <c r="U110" s="243"/>
    </row>
    <row r="111" spans="1:21">
      <c r="B111" s="145" t="str">
        <f t="shared" si="20"/>
        <v/>
      </c>
      <c r="C111" s="495">
        <f>IF(D94="","-",+C110+1)</f>
        <v>2022</v>
      </c>
      <c r="D111" s="349">
        <f>IF(F110+SUM(E$100:E110)=D$93,F110,D$93-SUM(E$100:E110))</f>
        <v>8073764.9891593419</v>
      </c>
      <c r="E111" s="509">
        <f>IF(+J97&lt;F110,J97,D111)</f>
        <v>525630.09523809527</v>
      </c>
      <c r="F111" s="510">
        <f t="shared" si="30"/>
        <v>7548134.8939212468</v>
      </c>
      <c r="G111" s="510">
        <f t="shared" si="31"/>
        <v>7810949.9415402943</v>
      </c>
      <c r="H111" s="523">
        <f t="shared" si="32"/>
        <v>1422005.1335053502</v>
      </c>
      <c r="I111" s="572">
        <f t="shared" si="33"/>
        <v>1422005.1335053502</v>
      </c>
      <c r="J111" s="504">
        <f t="shared" si="27"/>
        <v>0</v>
      </c>
      <c r="K111" s="504"/>
      <c r="L111" s="512"/>
      <c r="M111" s="504">
        <f t="shared" si="22"/>
        <v>0</v>
      </c>
      <c r="N111" s="512"/>
      <c r="O111" s="504">
        <f t="shared" si="24"/>
        <v>0</v>
      </c>
      <c r="P111" s="504">
        <f t="shared" si="25"/>
        <v>0</v>
      </c>
      <c r="Q111" s="243"/>
      <c r="R111" s="243"/>
      <c r="S111" s="243"/>
      <c r="T111" s="243"/>
      <c r="U111" s="243"/>
    </row>
    <row r="112" spans="1:21">
      <c r="B112" s="145" t="str">
        <f t="shared" si="20"/>
        <v/>
      </c>
      <c r="C112" s="495">
        <f>IF(D94="","-",+C111+1)</f>
        <v>2023</v>
      </c>
      <c r="D112" s="349">
        <f>IF(F111+SUM(E$100:E111)=D$93,F111,D$93-SUM(E$100:E111))</f>
        <v>7548134.8939212468</v>
      </c>
      <c r="E112" s="509">
        <f>IF(+J97&lt;F111,J97,D112)</f>
        <v>525630.09523809527</v>
      </c>
      <c r="F112" s="510">
        <f t="shared" si="30"/>
        <v>7022504.7986831516</v>
      </c>
      <c r="G112" s="510">
        <f t="shared" si="31"/>
        <v>7285319.8463021992</v>
      </c>
      <c r="H112" s="523">
        <f t="shared" si="32"/>
        <v>1361684.4682521098</v>
      </c>
      <c r="I112" s="572">
        <f t="shared" si="33"/>
        <v>1361684.4682521098</v>
      </c>
      <c r="J112" s="504">
        <f t="shared" si="27"/>
        <v>0</v>
      </c>
      <c r="K112" s="504"/>
      <c r="L112" s="512"/>
      <c r="M112" s="504">
        <f t="shared" si="22"/>
        <v>0</v>
      </c>
      <c r="N112" s="512"/>
      <c r="O112" s="504">
        <f t="shared" si="24"/>
        <v>0</v>
      </c>
      <c r="P112" s="504">
        <f t="shared" si="25"/>
        <v>0</v>
      </c>
      <c r="Q112" s="243"/>
      <c r="R112" s="243"/>
      <c r="S112" s="243"/>
      <c r="T112" s="243"/>
      <c r="U112" s="243"/>
    </row>
    <row r="113" spans="2:21">
      <c r="B113" s="145" t="str">
        <f t="shared" si="20"/>
        <v/>
      </c>
      <c r="C113" s="495">
        <f>IF(D94="","-",+C112+1)</f>
        <v>2024</v>
      </c>
      <c r="D113" s="349">
        <f>IF(F112+SUM(E$100:E112)=D$93,F112,D$93-SUM(E$100:E112))</f>
        <v>7022504.7986831516</v>
      </c>
      <c r="E113" s="509">
        <f>IF(+J97&lt;F112,J97,D113)</f>
        <v>525630.09523809527</v>
      </c>
      <c r="F113" s="510">
        <f t="shared" si="30"/>
        <v>6496874.7034450565</v>
      </c>
      <c r="G113" s="510">
        <f t="shared" si="31"/>
        <v>6759689.751064104</v>
      </c>
      <c r="H113" s="523">
        <f t="shared" si="32"/>
        <v>1301363.8029988697</v>
      </c>
      <c r="I113" s="572">
        <f t="shared" si="33"/>
        <v>1301363.8029988697</v>
      </c>
      <c r="J113" s="504">
        <f t="shared" si="27"/>
        <v>0</v>
      </c>
      <c r="K113" s="504"/>
      <c r="L113" s="512"/>
      <c r="M113" s="504">
        <f t="shared" si="22"/>
        <v>0</v>
      </c>
      <c r="N113" s="512"/>
      <c r="O113" s="504">
        <f t="shared" si="24"/>
        <v>0</v>
      </c>
      <c r="P113" s="504">
        <f t="shared" si="25"/>
        <v>0</v>
      </c>
      <c r="Q113" s="243"/>
      <c r="R113" s="243"/>
      <c r="S113" s="243"/>
      <c r="T113" s="243"/>
      <c r="U113" s="243"/>
    </row>
    <row r="114" spans="2:21">
      <c r="B114" s="145" t="str">
        <f t="shared" si="20"/>
        <v/>
      </c>
      <c r="C114" s="495">
        <f>IF(D94="","-",+C113+1)</f>
        <v>2025</v>
      </c>
      <c r="D114" s="349">
        <f>IF(F113+SUM(E$100:E113)=D$93,F113,D$93-SUM(E$100:E113))</f>
        <v>6496874.7034450565</v>
      </c>
      <c r="E114" s="509">
        <f>IF(+J97&lt;F113,J97,D114)</f>
        <v>525630.09523809527</v>
      </c>
      <c r="F114" s="510">
        <f t="shared" si="30"/>
        <v>5971244.6082069613</v>
      </c>
      <c r="G114" s="510">
        <f t="shared" si="31"/>
        <v>6234059.6558260089</v>
      </c>
      <c r="H114" s="523">
        <f t="shared" si="32"/>
        <v>1241043.1377456295</v>
      </c>
      <c r="I114" s="572">
        <f t="shared" si="33"/>
        <v>1241043.1377456295</v>
      </c>
      <c r="J114" s="504">
        <f t="shared" si="27"/>
        <v>0</v>
      </c>
      <c r="K114" s="504"/>
      <c r="L114" s="512"/>
      <c r="M114" s="504">
        <f t="shared" si="22"/>
        <v>0</v>
      </c>
      <c r="N114" s="512"/>
      <c r="O114" s="504">
        <f t="shared" si="24"/>
        <v>0</v>
      </c>
      <c r="P114" s="504">
        <f t="shared" si="25"/>
        <v>0</v>
      </c>
      <c r="Q114" s="243"/>
      <c r="R114" s="243"/>
      <c r="S114" s="243"/>
      <c r="T114" s="243"/>
      <c r="U114" s="243"/>
    </row>
    <row r="115" spans="2:21">
      <c r="B115" s="145" t="str">
        <f t="shared" si="20"/>
        <v/>
      </c>
      <c r="C115" s="495">
        <f>IF(D94="","-",+C114+1)</f>
        <v>2026</v>
      </c>
      <c r="D115" s="349">
        <f>IF(F114+SUM(E$100:E114)=D$93,F114,D$93-SUM(E$100:E114))</f>
        <v>5971244.6082069613</v>
      </c>
      <c r="E115" s="509">
        <f>IF(+J97&lt;F114,J97,D115)</f>
        <v>525630.09523809527</v>
      </c>
      <c r="F115" s="510">
        <f t="shared" si="30"/>
        <v>5445614.5129688662</v>
      </c>
      <c r="G115" s="510">
        <f t="shared" si="31"/>
        <v>5708429.5605879137</v>
      </c>
      <c r="H115" s="523">
        <f t="shared" si="32"/>
        <v>1180722.4724923894</v>
      </c>
      <c r="I115" s="572">
        <f t="shared" si="33"/>
        <v>1180722.4724923894</v>
      </c>
      <c r="J115" s="504">
        <f t="shared" si="27"/>
        <v>0</v>
      </c>
      <c r="K115" s="504"/>
      <c r="L115" s="512"/>
      <c r="M115" s="504">
        <f t="shared" si="22"/>
        <v>0</v>
      </c>
      <c r="N115" s="512"/>
      <c r="O115" s="504">
        <f t="shared" si="24"/>
        <v>0</v>
      </c>
      <c r="P115" s="504">
        <f t="shared" si="25"/>
        <v>0</v>
      </c>
      <c r="Q115" s="243"/>
      <c r="R115" s="243"/>
      <c r="S115" s="243"/>
      <c r="T115" s="243"/>
      <c r="U115" s="243"/>
    </row>
    <row r="116" spans="2:21">
      <c r="B116" s="145" t="str">
        <f t="shared" si="20"/>
        <v/>
      </c>
      <c r="C116" s="495">
        <f>IF(D94="","-",+C115+1)</f>
        <v>2027</v>
      </c>
      <c r="D116" s="349">
        <f>IF(F115+SUM(E$100:E115)=D$93,F115,D$93-SUM(E$100:E115))</f>
        <v>5445614.5129688662</v>
      </c>
      <c r="E116" s="509">
        <f>IF(+J97&lt;F115,J97,D116)</f>
        <v>525630.09523809527</v>
      </c>
      <c r="F116" s="510">
        <f t="shared" si="30"/>
        <v>4919984.417730771</v>
      </c>
      <c r="G116" s="510">
        <f t="shared" si="31"/>
        <v>5182799.4653498186</v>
      </c>
      <c r="H116" s="523">
        <f t="shared" si="32"/>
        <v>1120401.8072391492</v>
      </c>
      <c r="I116" s="572">
        <f t="shared" si="33"/>
        <v>1120401.8072391492</v>
      </c>
      <c r="J116" s="504">
        <f t="shared" si="27"/>
        <v>0</v>
      </c>
      <c r="K116" s="504"/>
      <c r="L116" s="512"/>
      <c r="M116" s="504">
        <f t="shared" si="22"/>
        <v>0</v>
      </c>
      <c r="N116" s="512"/>
      <c r="O116" s="504">
        <f t="shared" si="24"/>
        <v>0</v>
      </c>
      <c r="P116" s="504">
        <f t="shared" si="25"/>
        <v>0</v>
      </c>
      <c r="Q116" s="243"/>
      <c r="R116" s="243"/>
      <c r="S116" s="243"/>
      <c r="T116" s="243"/>
      <c r="U116" s="243"/>
    </row>
    <row r="117" spans="2:21">
      <c r="B117" s="145" t="str">
        <f t="shared" si="20"/>
        <v/>
      </c>
      <c r="C117" s="495">
        <f>IF(D94="","-",+C116+1)</f>
        <v>2028</v>
      </c>
      <c r="D117" s="349">
        <f>IF(F116+SUM(E$100:E116)=D$93,F116,D$93-SUM(E$100:E116))</f>
        <v>4919984.417730771</v>
      </c>
      <c r="E117" s="509">
        <f>IF(+J97&lt;F116,J97,D117)</f>
        <v>525630.09523809527</v>
      </c>
      <c r="F117" s="510">
        <f t="shared" si="30"/>
        <v>4394354.3224926759</v>
      </c>
      <c r="G117" s="510">
        <f t="shared" si="31"/>
        <v>4657169.3701117234</v>
      </c>
      <c r="H117" s="523">
        <f t="shared" si="32"/>
        <v>1060081.1419859088</v>
      </c>
      <c r="I117" s="572">
        <f t="shared" si="33"/>
        <v>1060081.1419859088</v>
      </c>
      <c r="J117" s="504">
        <f t="shared" si="27"/>
        <v>0</v>
      </c>
      <c r="K117" s="504"/>
      <c r="L117" s="512"/>
      <c r="M117" s="504">
        <f t="shared" si="22"/>
        <v>0</v>
      </c>
      <c r="N117" s="512"/>
      <c r="O117" s="504">
        <f t="shared" si="24"/>
        <v>0</v>
      </c>
      <c r="P117" s="504">
        <f t="shared" si="25"/>
        <v>0</v>
      </c>
      <c r="Q117" s="243"/>
      <c r="R117" s="243"/>
      <c r="S117" s="243"/>
      <c r="T117" s="243"/>
      <c r="U117" s="243"/>
    </row>
    <row r="118" spans="2:21">
      <c r="B118" s="145" t="str">
        <f t="shared" si="20"/>
        <v/>
      </c>
      <c r="C118" s="495">
        <f>IF(D94="","-",+C117+1)</f>
        <v>2029</v>
      </c>
      <c r="D118" s="349">
        <f>IF(F117+SUM(E$100:E117)=D$93,F117,D$93-SUM(E$100:E117))</f>
        <v>4394354.3224926759</v>
      </c>
      <c r="E118" s="509">
        <f>IF(+J97&lt;F117,J97,D118)</f>
        <v>525630.09523809527</v>
      </c>
      <c r="F118" s="510">
        <f t="shared" si="30"/>
        <v>3868724.2272545807</v>
      </c>
      <c r="G118" s="510">
        <f t="shared" si="31"/>
        <v>4131539.2748736283</v>
      </c>
      <c r="H118" s="523">
        <f t="shared" si="32"/>
        <v>999760.4767326687</v>
      </c>
      <c r="I118" s="572">
        <f t="shared" si="33"/>
        <v>999760.4767326687</v>
      </c>
      <c r="J118" s="504">
        <f t="shared" si="27"/>
        <v>0</v>
      </c>
      <c r="K118" s="504"/>
      <c r="L118" s="512"/>
      <c r="M118" s="504">
        <f t="shared" si="22"/>
        <v>0</v>
      </c>
      <c r="N118" s="512"/>
      <c r="O118" s="504">
        <f t="shared" si="24"/>
        <v>0</v>
      </c>
      <c r="P118" s="504">
        <f t="shared" si="25"/>
        <v>0</v>
      </c>
      <c r="Q118" s="243"/>
      <c r="R118" s="243"/>
      <c r="S118" s="243"/>
      <c r="T118" s="243"/>
      <c r="U118" s="243"/>
    </row>
    <row r="119" spans="2:21">
      <c r="B119" s="145" t="str">
        <f t="shared" si="20"/>
        <v/>
      </c>
      <c r="C119" s="495">
        <f>IF(D94="","-",+C118+1)</f>
        <v>2030</v>
      </c>
      <c r="D119" s="349">
        <f>IF(F118+SUM(E$100:E118)=D$93,F118,D$93-SUM(E$100:E118))</f>
        <v>3868724.2272545807</v>
      </c>
      <c r="E119" s="509">
        <f>IF(+J97&lt;F118,J97,D119)</f>
        <v>525630.09523809527</v>
      </c>
      <c r="F119" s="510">
        <f t="shared" si="30"/>
        <v>3343094.1320164856</v>
      </c>
      <c r="G119" s="510">
        <f t="shared" si="31"/>
        <v>3605909.1796355331</v>
      </c>
      <c r="H119" s="523">
        <f t="shared" si="32"/>
        <v>939439.81147942832</v>
      </c>
      <c r="I119" s="572">
        <f t="shared" si="33"/>
        <v>939439.81147942832</v>
      </c>
      <c r="J119" s="504">
        <f t="shared" si="27"/>
        <v>0</v>
      </c>
      <c r="K119" s="504"/>
      <c r="L119" s="512"/>
      <c r="M119" s="504">
        <f t="shared" si="22"/>
        <v>0</v>
      </c>
      <c r="N119" s="512"/>
      <c r="O119" s="504">
        <f t="shared" si="24"/>
        <v>0</v>
      </c>
      <c r="P119" s="504">
        <f t="shared" si="25"/>
        <v>0</v>
      </c>
      <c r="Q119" s="243"/>
      <c r="R119" s="243"/>
      <c r="S119" s="243"/>
      <c r="T119" s="243"/>
      <c r="U119" s="243"/>
    </row>
    <row r="120" spans="2:21">
      <c r="B120" s="145" t="str">
        <f t="shared" si="20"/>
        <v/>
      </c>
      <c r="C120" s="495">
        <f>IF(D94="","-",+C119+1)</f>
        <v>2031</v>
      </c>
      <c r="D120" s="349">
        <f>IF(F119+SUM(E$100:E119)=D$93,F119,D$93-SUM(E$100:E119))</f>
        <v>3343094.1320164856</v>
      </c>
      <c r="E120" s="509">
        <f>IF(+J97&lt;F119,J97,D120)</f>
        <v>525630.09523809527</v>
      </c>
      <c r="F120" s="510">
        <f t="shared" si="30"/>
        <v>2817464.0367783904</v>
      </c>
      <c r="G120" s="510">
        <f t="shared" si="31"/>
        <v>3080279.084397438</v>
      </c>
      <c r="H120" s="523">
        <f t="shared" si="32"/>
        <v>879119.14622618817</v>
      </c>
      <c r="I120" s="572">
        <f t="shared" si="33"/>
        <v>879119.14622618817</v>
      </c>
      <c r="J120" s="504">
        <f t="shared" si="27"/>
        <v>0</v>
      </c>
      <c r="K120" s="504"/>
      <c r="L120" s="512"/>
      <c r="M120" s="504">
        <f t="shared" si="22"/>
        <v>0</v>
      </c>
      <c r="N120" s="512"/>
      <c r="O120" s="504">
        <f t="shared" si="24"/>
        <v>0</v>
      </c>
      <c r="P120" s="504">
        <f t="shared" si="25"/>
        <v>0</v>
      </c>
      <c r="Q120" s="243"/>
      <c r="R120" s="243"/>
      <c r="S120" s="243"/>
      <c r="T120" s="243"/>
      <c r="U120" s="243"/>
    </row>
    <row r="121" spans="2:21">
      <c r="B121" s="145" t="str">
        <f t="shared" si="20"/>
        <v/>
      </c>
      <c r="C121" s="495">
        <f>IF(D94="","-",+C120+1)</f>
        <v>2032</v>
      </c>
      <c r="D121" s="349">
        <f>IF(F120+SUM(E$100:E120)=D$93,F120,D$93-SUM(E$100:E120))</f>
        <v>2817464.0367783904</v>
      </c>
      <c r="E121" s="509">
        <f>IF(+J97&lt;F120,J97,D121)</f>
        <v>525630.09523809527</v>
      </c>
      <c r="F121" s="510">
        <f t="shared" si="30"/>
        <v>2291833.9415402953</v>
      </c>
      <c r="G121" s="510">
        <f t="shared" si="31"/>
        <v>2554648.9891593428</v>
      </c>
      <c r="H121" s="523">
        <f t="shared" si="32"/>
        <v>818798.48097294802</v>
      </c>
      <c r="I121" s="572">
        <f t="shared" si="33"/>
        <v>818798.48097294802</v>
      </c>
      <c r="J121" s="504">
        <f t="shared" si="27"/>
        <v>0</v>
      </c>
      <c r="K121" s="504"/>
      <c r="L121" s="512"/>
      <c r="M121" s="504">
        <f t="shared" si="22"/>
        <v>0</v>
      </c>
      <c r="N121" s="512"/>
      <c r="O121" s="504">
        <f t="shared" si="24"/>
        <v>0</v>
      </c>
      <c r="P121" s="504">
        <f t="shared" si="25"/>
        <v>0</v>
      </c>
      <c r="Q121" s="243"/>
      <c r="R121" s="243"/>
      <c r="S121" s="243"/>
      <c r="T121" s="243"/>
      <c r="U121" s="243"/>
    </row>
    <row r="122" spans="2:21">
      <c r="B122" s="145" t="str">
        <f t="shared" si="20"/>
        <v/>
      </c>
      <c r="C122" s="495">
        <f>IF(D94="","-",+C121+1)</f>
        <v>2033</v>
      </c>
      <c r="D122" s="349">
        <f>IF(F121+SUM(E$100:E121)=D$93,F121,D$93-SUM(E$100:E121))</f>
        <v>2291833.9415402953</v>
      </c>
      <c r="E122" s="509">
        <f>IF(+J97&lt;F121,J97,D122)</f>
        <v>525630.09523809527</v>
      </c>
      <c r="F122" s="510">
        <f t="shared" si="30"/>
        <v>1766203.8463022001</v>
      </c>
      <c r="G122" s="510">
        <f t="shared" si="31"/>
        <v>2029018.8939212477</v>
      </c>
      <c r="H122" s="523">
        <f t="shared" si="32"/>
        <v>758477.81571970775</v>
      </c>
      <c r="I122" s="572">
        <f t="shared" si="33"/>
        <v>758477.81571970775</v>
      </c>
      <c r="J122" s="504">
        <f t="shared" si="27"/>
        <v>0</v>
      </c>
      <c r="K122" s="504"/>
      <c r="L122" s="512"/>
      <c r="M122" s="504">
        <f t="shared" si="22"/>
        <v>0</v>
      </c>
      <c r="N122" s="512"/>
      <c r="O122" s="504">
        <f t="shared" si="24"/>
        <v>0</v>
      </c>
      <c r="P122" s="504">
        <f t="shared" si="25"/>
        <v>0</v>
      </c>
      <c r="Q122" s="243"/>
      <c r="R122" s="243"/>
      <c r="S122" s="243"/>
      <c r="T122" s="243"/>
      <c r="U122" s="243"/>
    </row>
    <row r="123" spans="2:21">
      <c r="B123" s="145" t="str">
        <f t="shared" si="20"/>
        <v/>
      </c>
      <c r="C123" s="495">
        <f>IF(D94="","-",+C122+1)</f>
        <v>2034</v>
      </c>
      <c r="D123" s="349">
        <f>IF(F122+SUM(E$100:E122)=D$93,F122,D$93-SUM(E$100:E122))</f>
        <v>1766203.8463022001</v>
      </c>
      <c r="E123" s="509">
        <f>IF(+J97&lt;F122,J97,D123)</f>
        <v>525630.09523809527</v>
      </c>
      <c r="F123" s="510">
        <f t="shared" si="30"/>
        <v>1240573.751064105</v>
      </c>
      <c r="G123" s="510">
        <f t="shared" si="31"/>
        <v>1503388.7986831525</v>
      </c>
      <c r="H123" s="523">
        <f t="shared" si="32"/>
        <v>698157.15046646749</v>
      </c>
      <c r="I123" s="572">
        <f t="shared" si="33"/>
        <v>698157.15046646749</v>
      </c>
      <c r="J123" s="504">
        <f t="shared" si="27"/>
        <v>0</v>
      </c>
      <c r="K123" s="504"/>
      <c r="L123" s="512"/>
      <c r="M123" s="504">
        <f t="shared" si="22"/>
        <v>0</v>
      </c>
      <c r="N123" s="512"/>
      <c r="O123" s="504">
        <f t="shared" si="24"/>
        <v>0</v>
      </c>
      <c r="P123" s="504">
        <f t="shared" si="25"/>
        <v>0</v>
      </c>
      <c r="Q123" s="243"/>
      <c r="R123" s="243"/>
      <c r="S123" s="243"/>
      <c r="T123" s="243"/>
      <c r="U123" s="243"/>
    </row>
    <row r="124" spans="2:21">
      <c r="B124" s="145" t="str">
        <f t="shared" si="20"/>
        <v/>
      </c>
      <c r="C124" s="495">
        <f>IF(D94="","-",+C123+1)</f>
        <v>2035</v>
      </c>
      <c r="D124" s="349">
        <f>IF(F123+SUM(E$100:E123)=D$93,F123,D$93-SUM(E$100:E123))</f>
        <v>1240573.751064105</v>
      </c>
      <c r="E124" s="509">
        <f>IF(+J97&lt;F123,J97,D124)</f>
        <v>525630.09523809527</v>
      </c>
      <c r="F124" s="510">
        <f t="shared" si="30"/>
        <v>714943.65582600969</v>
      </c>
      <c r="G124" s="510">
        <f t="shared" si="31"/>
        <v>977758.70344505738</v>
      </c>
      <c r="H124" s="523">
        <f t="shared" si="32"/>
        <v>637836.48521322734</v>
      </c>
      <c r="I124" s="572">
        <f t="shared" si="33"/>
        <v>637836.48521322734</v>
      </c>
      <c r="J124" s="504">
        <f t="shared" si="27"/>
        <v>0</v>
      </c>
      <c r="K124" s="504"/>
      <c r="L124" s="512"/>
      <c r="M124" s="504">
        <f t="shared" si="22"/>
        <v>0</v>
      </c>
      <c r="N124" s="512"/>
      <c r="O124" s="504">
        <f t="shared" si="24"/>
        <v>0</v>
      </c>
      <c r="P124" s="504">
        <f t="shared" si="25"/>
        <v>0</v>
      </c>
      <c r="Q124" s="243"/>
      <c r="R124" s="243"/>
      <c r="S124" s="243"/>
      <c r="T124" s="243"/>
      <c r="U124" s="243"/>
    </row>
    <row r="125" spans="2:21">
      <c r="B125" s="145" t="str">
        <f t="shared" si="20"/>
        <v/>
      </c>
      <c r="C125" s="495">
        <f>IF(D94="","-",+C124+1)</f>
        <v>2036</v>
      </c>
      <c r="D125" s="349">
        <f>IF(F124+SUM(E$100:E124)=D$93,F124,D$93-SUM(E$100:E124))</f>
        <v>714943.65582600969</v>
      </c>
      <c r="E125" s="509">
        <f>IF(+J97&lt;F124,J97,D125)</f>
        <v>525630.09523809527</v>
      </c>
      <c r="F125" s="510">
        <f t="shared" si="30"/>
        <v>189313.56058791443</v>
      </c>
      <c r="G125" s="510">
        <f t="shared" si="31"/>
        <v>452128.60820696206</v>
      </c>
      <c r="H125" s="523">
        <f t="shared" si="32"/>
        <v>577515.81995998707</v>
      </c>
      <c r="I125" s="572">
        <f t="shared" si="33"/>
        <v>577515.81995998707</v>
      </c>
      <c r="J125" s="504">
        <f t="shared" si="27"/>
        <v>0</v>
      </c>
      <c r="K125" s="504"/>
      <c r="L125" s="512"/>
      <c r="M125" s="504">
        <f t="shared" si="22"/>
        <v>0</v>
      </c>
      <c r="N125" s="512"/>
      <c r="O125" s="504">
        <f t="shared" si="24"/>
        <v>0</v>
      </c>
      <c r="P125" s="504">
        <f t="shared" si="25"/>
        <v>0</v>
      </c>
      <c r="Q125" s="243"/>
      <c r="R125" s="243"/>
      <c r="S125" s="243"/>
      <c r="T125" s="243"/>
      <c r="U125" s="243"/>
    </row>
    <row r="126" spans="2:21">
      <c r="B126" s="145" t="str">
        <f t="shared" si="20"/>
        <v/>
      </c>
      <c r="C126" s="495">
        <f>IF(D94="","-",+C125+1)</f>
        <v>2037</v>
      </c>
      <c r="D126" s="349">
        <f>IF(F125+SUM(E$100:E125)=D$93,F125,D$93-SUM(E$100:E125))</f>
        <v>189313.56058791443</v>
      </c>
      <c r="E126" s="509">
        <f>IF(+J97&lt;F125,J97,D126)</f>
        <v>189313.56058791443</v>
      </c>
      <c r="F126" s="510">
        <f t="shared" si="30"/>
        <v>0</v>
      </c>
      <c r="G126" s="510">
        <f t="shared" si="31"/>
        <v>94656.780293957214</v>
      </c>
      <c r="H126" s="523">
        <f t="shared" si="32"/>
        <v>200176.25663555026</v>
      </c>
      <c r="I126" s="572">
        <f t="shared" si="33"/>
        <v>200176.25663555026</v>
      </c>
      <c r="J126" s="504">
        <f t="shared" si="27"/>
        <v>0</v>
      </c>
      <c r="K126" s="504"/>
      <c r="L126" s="512"/>
      <c r="M126" s="504">
        <f t="shared" si="22"/>
        <v>0</v>
      </c>
      <c r="N126" s="512"/>
      <c r="O126" s="504">
        <f t="shared" si="24"/>
        <v>0</v>
      </c>
      <c r="P126" s="504">
        <f t="shared" si="25"/>
        <v>0</v>
      </c>
      <c r="Q126" s="243"/>
      <c r="R126" s="243"/>
      <c r="S126" s="243"/>
      <c r="T126" s="243"/>
      <c r="U126" s="243"/>
    </row>
    <row r="127" spans="2:21">
      <c r="B127" s="145" t="str">
        <f t="shared" si="20"/>
        <v/>
      </c>
      <c r="C127" s="495">
        <f>IF(D94="","-",+C126+1)</f>
        <v>2038</v>
      </c>
      <c r="D127" s="349">
        <f>IF(F126+SUM(E$100:E126)=D$93,F126,D$93-SUM(E$100:E126))</f>
        <v>0</v>
      </c>
      <c r="E127" s="509">
        <f>IF(+J97&lt;F126,J97,D127)</f>
        <v>0</v>
      </c>
      <c r="F127" s="510">
        <f t="shared" si="30"/>
        <v>0</v>
      </c>
      <c r="G127" s="510">
        <f t="shared" si="31"/>
        <v>0</v>
      </c>
      <c r="H127" s="523">
        <f t="shared" si="32"/>
        <v>0</v>
      </c>
      <c r="I127" s="572">
        <f t="shared" si="33"/>
        <v>0</v>
      </c>
      <c r="J127" s="504">
        <f t="shared" si="27"/>
        <v>0</v>
      </c>
      <c r="K127" s="504"/>
      <c r="L127" s="512"/>
      <c r="M127" s="504">
        <f t="shared" si="22"/>
        <v>0</v>
      </c>
      <c r="N127" s="512"/>
      <c r="O127" s="504">
        <f t="shared" si="24"/>
        <v>0</v>
      </c>
      <c r="P127" s="504">
        <f t="shared" si="25"/>
        <v>0</v>
      </c>
      <c r="Q127" s="243"/>
      <c r="R127" s="243"/>
      <c r="S127" s="243"/>
      <c r="T127" s="243"/>
      <c r="U127" s="243"/>
    </row>
    <row r="128" spans="2:21">
      <c r="B128" s="145" t="str">
        <f t="shared" si="20"/>
        <v/>
      </c>
      <c r="C128" s="495">
        <f>IF(D94="","-",+C127+1)</f>
        <v>2039</v>
      </c>
      <c r="D128" s="349">
        <f>IF(F127+SUM(E$100:E127)=D$93,F127,D$93-SUM(E$100:E127))</f>
        <v>0</v>
      </c>
      <c r="E128" s="509">
        <f>IF(+J97&lt;F127,J97,D128)</f>
        <v>0</v>
      </c>
      <c r="F128" s="510">
        <f t="shared" si="30"/>
        <v>0</v>
      </c>
      <c r="G128" s="510">
        <f t="shared" si="31"/>
        <v>0</v>
      </c>
      <c r="H128" s="523">
        <f t="shared" si="32"/>
        <v>0</v>
      </c>
      <c r="I128" s="572">
        <f t="shared" si="33"/>
        <v>0</v>
      </c>
      <c r="J128" s="504">
        <f t="shared" si="27"/>
        <v>0</v>
      </c>
      <c r="K128" s="504"/>
      <c r="L128" s="512"/>
      <c r="M128" s="504">
        <f t="shared" si="22"/>
        <v>0</v>
      </c>
      <c r="N128" s="512"/>
      <c r="O128" s="504">
        <f t="shared" si="24"/>
        <v>0</v>
      </c>
      <c r="P128" s="504">
        <f t="shared" si="25"/>
        <v>0</v>
      </c>
      <c r="Q128" s="243"/>
      <c r="R128" s="243"/>
      <c r="S128" s="243"/>
      <c r="T128" s="243"/>
      <c r="U128" s="243"/>
    </row>
    <row r="129" spans="2:21">
      <c r="B129" s="145" t="str">
        <f t="shared" si="20"/>
        <v/>
      </c>
      <c r="C129" s="495">
        <f>IF(D94="","-",+C128+1)</f>
        <v>2040</v>
      </c>
      <c r="D129" s="349">
        <f>IF(F128+SUM(E$100:E128)=D$93,F128,D$93-SUM(E$100:E128))</f>
        <v>0</v>
      </c>
      <c r="E129" s="509">
        <f>IF(+J97&lt;F128,J97,D129)</f>
        <v>0</v>
      </c>
      <c r="F129" s="510">
        <f t="shared" si="30"/>
        <v>0</v>
      </c>
      <c r="G129" s="510">
        <f t="shared" si="31"/>
        <v>0</v>
      </c>
      <c r="H129" s="523">
        <f t="shared" si="32"/>
        <v>0</v>
      </c>
      <c r="I129" s="572">
        <f t="shared" si="33"/>
        <v>0</v>
      </c>
      <c r="J129" s="504">
        <f t="shared" si="27"/>
        <v>0</v>
      </c>
      <c r="K129" s="504"/>
      <c r="L129" s="512"/>
      <c r="M129" s="504">
        <f t="shared" si="22"/>
        <v>0</v>
      </c>
      <c r="N129" s="512"/>
      <c r="O129" s="504">
        <f t="shared" si="24"/>
        <v>0</v>
      </c>
      <c r="P129" s="504">
        <f t="shared" si="25"/>
        <v>0</v>
      </c>
      <c r="Q129" s="243"/>
      <c r="R129" s="243"/>
      <c r="S129" s="243"/>
      <c r="T129" s="243"/>
      <c r="U129" s="243"/>
    </row>
    <row r="130" spans="2:21">
      <c r="B130" s="145" t="str">
        <f t="shared" si="20"/>
        <v/>
      </c>
      <c r="C130" s="495">
        <f>IF(D94="","-",+C129+1)</f>
        <v>2041</v>
      </c>
      <c r="D130" s="349">
        <f>IF(F129+SUM(E$100:E129)=D$93,F129,D$93-SUM(E$100:E129))</f>
        <v>0</v>
      </c>
      <c r="E130" s="509">
        <f>IF(+J97&lt;F129,J97,D130)</f>
        <v>0</v>
      </c>
      <c r="F130" s="510">
        <f t="shared" si="30"/>
        <v>0</v>
      </c>
      <c r="G130" s="510">
        <f t="shared" si="31"/>
        <v>0</v>
      </c>
      <c r="H130" s="523">
        <f t="shared" si="32"/>
        <v>0</v>
      </c>
      <c r="I130" s="572">
        <f t="shared" si="33"/>
        <v>0</v>
      </c>
      <c r="J130" s="504">
        <f t="shared" si="27"/>
        <v>0</v>
      </c>
      <c r="K130" s="504"/>
      <c r="L130" s="512"/>
      <c r="M130" s="504">
        <f t="shared" si="22"/>
        <v>0</v>
      </c>
      <c r="N130" s="512"/>
      <c r="O130" s="504">
        <f t="shared" si="24"/>
        <v>0</v>
      </c>
      <c r="P130" s="504">
        <f t="shared" si="25"/>
        <v>0</v>
      </c>
      <c r="Q130" s="243"/>
      <c r="R130" s="243"/>
      <c r="S130" s="243"/>
      <c r="T130" s="243"/>
      <c r="U130" s="243"/>
    </row>
    <row r="131" spans="2:21">
      <c r="B131" s="145" t="str">
        <f t="shared" si="20"/>
        <v/>
      </c>
      <c r="C131" s="495">
        <f>IF(D94="","-",+C130+1)</f>
        <v>2042</v>
      </c>
      <c r="D131" s="349">
        <f>IF(F130+SUM(E$100:E130)=D$93,F130,D$93-SUM(E$100:E130))</f>
        <v>0</v>
      </c>
      <c r="E131" s="509">
        <f>IF(+J97&lt;F130,J97,D131)</f>
        <v>0</v>
      </c>
      <c r="F131" s="510">
        <f t="shared" si="30"/>
        <v>0</v>
      </c>
      <c r="G131" s="510">
        <f t="shared" si="31"/>
        <v>0</v>
      </c>
      <c r="H131" s="523">
        <f t="shared" si="32"/>
        <v>0</v>
      </c>
      <c r="I131" s="572">
        <f t="shared" si="33"/>
        <v>0</v>
      </c>
      <c r="J131" s="504">
        <f t="shared" si="27"/>
        <v>0</v>
      </c>
      <c r="K131" s="504"/>
      <c r="L131" s="512"/>
      <c r="M131" s="504">
        <f t="shared" si="22"/>
        <v>0</v>
      </c>
      <c r="N131" s="512"/>
      <c r="O131" s="504">
        <f t="shared" si="24"/>
        <v>0</v>
      </c>
      <c r="P131" s="504">
        <f t="shared" si="25"/>
        <v>0</v>
      </c>
      <c r="Q131" s="243"/>
      <c r="R131" s="243"/>
      <c r="S131" s="243"/>
      <c r="T131" s="243"/>
      <c r="U131" s="243"/>
    </row>
    <row r="132" spans="2:21">
      <c r="B132" s="145" t="str">
        <f t="shared" ref="B132:B155" si="34">IF(D132=F131,"","IU")</f>
        <v/>
      </c>
      <c r="C132" s="495">
        <f>IF(D94="","-",+C131+1)</f>
        <v>2043</v>
      </c>
      <c r="D132" s="349">
        <f>IF(F131+SUM(E$100:E131)=D$93,F131,D$93-SUM(E$100:E131))</f>
        <v>0</v>
      </c>
      <c r="E132" s="509">
        <f>IF(+J97&lt;F131,J97,D132)</f>
        <v>0</v>
      </c>
      <c r="F132" s="510">
        <f t="shared" si="30"/>
        <v>0</v>
      </c>
      <c r="G132" s="510">
        <f t="shared" ref="G132:G155" si="35">+(F132+D132)/2</f>
        <v>0</v>
      </c>
      <c r="H132" s="523">
        <f t="shared" ref="H132:H155" si="36">+J$95*G132+E132</f>
        <v>0</v>
      </c>
      <c r="I132" s="572">
        <f t="shared" ref="I132:I155" si="37">+J$96*G132+E132</f>
        <v>0</v>
      </c>
      <c r="J132" s="504">
        <f t="shared" ref="J132:J155" si="38">+I132-H132</f>
        <v>0</v>
      </c>
      <c r="K132" s="504"/>
      <c r="L132" s="512"/>
      <c r="M132" s="504">
        <f t="shared" ref="M132:M155" si="39">IF(L132&lt;&gt;0,+H132-L132,0)</f>
        <v>0</v>
      </c>
      <c r="N132" s="512"/>
      <c r="O132" s="504">
        <f t="shared" ref="O132:O155" si="40">IF(N132&lt;&gt;0,+I132-N132,0)</f>
        <v>0</v>
      </c>
      <c r="P132" s="504">
        <f t="shared" ref="P132:P155" si="41">+O132-M132</f>
        <v>0</v>
      </c>
      <c r="Q132" s="243"/>
      <c r="R132" s="243"/>
      <c r="S132" s="243"/>
      <c r="T132" s="243"/>
      <c r="U132" s="243"/>
    </row>
    <row r="133" spans="2:21">
      <c r="B133" s="145" t="str">
        <f t="shared" si="34"/>
        <v/>
      </c>
      <c r="C133" s="495">
        <f>IF(D94="","-",+C132+1)</f>
        <v>2044</v>
      </c>
      <c r="D133" s="349">
        <f>IF(F132+SUM(E$100:E132)=D$93,F132,D$93-SUM(E$100:E132))</f>
        <v>0</v>
      </c>
      <c r="E133" s="509">
        <f>IF(+J97&lt;F132,J97,D133)</f>
        <v>0</v>
      </c>
      <c r="F133" s="510">
        <f t="shared" ref="F133:F155" si="42">+D133-E133</f>
        <v>0</v>
      </c>
      <c r="G133" s="510">
        <f t="shared" si="35"/>
        <v>0</v>
      </c>
      <c r="H133" s="523">
        <f t="shared" si="36"/>
        <v>0</v>
      </c>
      <c r="I133" s="572">
        <f t="shared" si="37"/>
        <v>0</v>
      </c>
      <c r="J133" s="504">
        <f t="shared" si="38"/>
        <v>0</v>
      </c>
      <c r="K133" s="504"/>
      <c r="L133" s="512"/>
      <c r="M133" s="504">
        <f t="shared" si="39"/>
        <v>0</v>
      </c>
      <c r="N133" s="512"/>
      <c r="O133" s="504">
        <f t="shared" si="40"/>
        <v>0</v>
      </c>
      <c r="P133" s="504">
        <f t="shared" si="41"/>
        <v>0</v>
      </c>
      <c r="Q133" s="243"/>
      <c r="R133" s="243"/>
      <c r="S133" s="243"/>
      <c r="T133" s="243"/>
      <c r="U133" s="243"/>
    </row>
    <row r="134" spans="2:21">
      <c r="B134" s="145" t="str">
        <f t="shared" si="34"/>
        <v/>
      </c>
      <c r="C134" s="495">
        <f>IF(D94="","-",+C133+1)</f>
        <v>2045</v>
      </c>
      <c r="D134" s="349">
        <f>IF(F133+SUM(E$100:E133)=D$93,F133,D$93-SUM(E$100:E133))</f>
        <v>0</v>
      </c>
      <c r="E134" s="509">
        <f>IF(+J97&lt;F133,J97,D134)</f>
        <v>0</v>
      </c>
      <c r="F134" s="510">
        <f t="shared" si="42"/>
        <v>0</v>
      </c>
      <c r="G134" s="510">
        <f t="shared" si="35"/>
        <v>0</v>
      </c>
      <c r="H134" s="523">
        <f t="shared" si="36"/>
        <v>0</v>
      </c>
      <c r="I134" s="572">
        <f t="shared" si="37"/>
        <v>0</v>
      </c>
      <c r="J134" s="504">
        <f t="shared" si="38"/>
        <v>0</v>
      </c>
      <c r="K134" s="504"/>
      <c r="L134" s="512"/>
      <c r="M134" s="504">
        <f t="shared" si="39"/>
        <v>0</v>
      </c>
      <c r="N134" s="512"/>
      <c r="O134" s="504">
        <f t="shared" si="40"/>
        <v>0</v>
      </c>
      <c r="P134" s="504">
        <f t="shared" si="41"/>
        <v>0</v>
      </c>
      <c r="Q134" s="243"/>
      <c r="R134" s="243"/>
      <c r="S134" s="243"/>
      <c r="T134" s="243"/>
      <c r="U134" s="243"/>
    </row>
    <row r="135" spans="2:21">
      <c r="B135" s="145" t="str">
        <f t="shared" si="34"/>
        <v/>
      </c>
      <c r="C135" s="495">
        <f>IF(D94="","-",+C134+1)</f>
        <v>2046</v>
      </c>
      <c r="D135" s="349">
        <f>IF(F134+SUM(E$100:E134)=D$93,F134,D$93-SUM(E$100:E134))</f>
        <v>0</v>
      </c>
      <c r="E135" s="509">
        <f>IF(+J97&lt;F134,J97,D135)</f>
        <v>0</v>
      </c>
      <c r="F135" s="510">
        <f t="shared" si="42"/>
        <v>0</v>
      </c>
      <c r="G135" s="510">
        <f t="shared" si="35"/>
        <v>0</v>
      </c>
      <c r="H135" s="523">
        <f t="shared" si="36"/>
        <v>0</v>
      </c>
      <c r="I135" s="572">
        <f t="shared" si="37"/>
        <v>0</v>
      </c>
      <c r="J135" s="504">
        <f t="shared" si="38"/>
        <v>0</v>
      </c>
      <c r="K135" s="504"/>
      <c r="L135" s="512"/>
      <c r="M135" s="504">
        <f t="shared" si="39"/>
        <v>0</v>
      </c>
      <c r="N135" s="512"/>
      <c r="O135" s="504">
        <f t="shared" si="40"/>
        <v>0</v>
      </c>
      <c r="P135" s="504">
        <f t="shared" si="41"/>
        <v>0</v>
      </c>
      <c r="Q135" s="243"/>
      <c r="R135" s="243"/>
      <c r="S135" s="243"/>
      <c r="T135" s="243"/>
      <c r="U135" s="243"/>
    </row>
    <row r="136" spans="2:21">
      <c r="B136" s="145" t="str">
        <f t="shared" si="34"/>
        <v/>
      </c>
      <c r="C136" s="495">
        <f>IF(D94="","-",+C135+1)</f>
        <v>2047</v>
      </c>
      <c r="D136" s="349">
        <f>IF(F135+SUM(E$100:E135)=D$93,F135,D$93-SUM(E$100:E135))</f>
        <v>0</v>
      </c>
      <c r="E136" s="509">
        <f>IF(+J97&lt;F135,J97,D136)</f>
        <v>0</v>
      </c>
      <c r="F136" s="510">
        <f t="shared" si="42"/>
        <v>0</v>
      </c>
      <c r="G136" s="510">
        <f t="shared" si="35"/>
        <v>0</v>
      </c>
      <c r="H136" s="523">
        <f t="shared" si="36"/>
        <v>0</v>
      </c>
      <c r="I136" s="572">
        <f t="shared" si="37"/>
        <v>0</v>
      </c>
      <c r="J136" s="504">
        <f t="shared" si="38"/>
        <v>0</v>
      </c>
      <c r="K136" s="504"/>
      <c r="L136" s="512"/>
      <c r="M136" s="504">
        <f t="shared" si="39"/>
        <v>0</v>
      </c>
      <c r="N136" s="512"/>
      <c r="O136" s="504">
        <f t="shared" si="40"/>
        <v>0</v>
      </c>
      <c r="P136" s="504">
        <f t="shared" si="41"/>
        <v>0</v>
      </c>
      <c r="Q136" s="243"/>
      <c r="R136" s="243"/>
      <c r="S136" s="243"/>
      <c r="T136" s="243"/>
      <c r="U136" s="243"/>
    </row>
    <row r="137" spans="2:21">
      <c r="B137" s="145" t="str">
        <f t="shared" si="34"/>
        <v/>
      </c>
      <c r="C137" s="495">
        <f>IF(D94="","-",+C136+1)</f>
        <v>2048</v>
      </c>
      <c r="D137" s="349">
        <f>IF(F136+SUM(E$100:E136)=D$93,F136,D$93-SUM(E$100:E136))</f>
        <v>0</v>
      </c>
      <c r="E137" s="509">
        <f>IF(+J97&lt;F136,J97,D137)</f>
        <v>0</v>
      </c>
      <c r="F137" s="510">
        <f t="shared" si="42"/>
        <v>0</v>
      </c>
      <c r="G137" s="510">
        <f t="shared" si="35"/>
        <v>0</v>
      </c>
      <c r="H137" s="523">
        <f t="shared" si="36"/>
        <v>0</v>
      </c>
      <c r="I137" s="572">
        <f t="shared" si="37"/>
        <v>0</v>
      </c>
      <c r="J137" s="504">
        <f t="shared" si="38"/>
        <v>0</v>
      </c>
      <c r="K137" s="504"/>
      <c r="L137" s="512"/>
      <c r="M137" s="504">
        <f t="shared" si="39"/>
        <v>0</v>
      </c>
      <c r="N137" s="512"/>
      <c r="O137" s="504">
        <f t="shared" si="40"/>
        <v>0</v>
      </c>
      <c r="P137" s="504">
        <f t="shared" si="41"/>
        <v>0</v>
      </c>
      <c r="Q137" s="243"/>
      <c r="R137" s="243"/>
      <c r="S137" s="243"/>
      <c r="T137" s="243"/>
      <c r="U137" s="243"/>
    </row>
    <row r="138" spans="2:21">
      <c r="B138" s="145" t="str">
        <f t="shared" si="34"/>
        <v/>
      </c>
      <c r="C138" s="495">
        <f>IF(D94="","-",+C137+1)</f>
        <v>2049</v>
      </c>
      <c r="D138" s="349">
        <f>IF(F137+SUM(E$100:E137)=D$93,F137,D$93-SUM(E$100:E137))</f>
        <v>0</v>
      </c>
      <c r="E138" s="509">
        <f>IF(+J97&lt;F137,J97,D138)</f>
        <v>0</v>
      </c>
      <c r="F138" s="510">
        <f t="shared" si="42"/>
        <v>0</v>
      </c>
      <c r="G138" s="510">
        <f t="shared" si="35"/>
        <v>0</v>
      </c>
      <c r="H138" s="523">
        <f t="shared" si="36"/>
        <v>0</v>
      </c>
      <c r="I138" s="572">
        <f t="shared" si="37"/>
        <v>0</v>
      </c>
      <c r="J138" s="504">
        <f t="shared" si="38"/>
        <v>0</v>
      </c>
      <c r="K138" s="504"/>
      <c r="L138" s="512"/>
      <c r="M138" s="504">
        <f t="shared" si="39"/>
        <v>0</v>
      </c>
      <c r="N138" s="512"/>
      <c r="O138" s="504">
        <f t="shared" si="40"/>
        <v>0</v>
      </c>
      <c r="P138" s="504">
        <f t="shared" si="41"/>
        <v>0</v>
      </c>
      <c r="Q138" s="243"/>
      <c r="R138" s="243"/>
      <c r="S138" s="243"/>
      <c r="T138" s="243"/>
      <c r="U138" s="243"/>
    </row>
    <row r="139" spans="2:21">
      <c r="B139" s="145" t="str">
        <f t="shared" si="34"/>
        <v/>
      </c>
      <c r="C139" s="495">
        <f>IF(D94="","-",+C138+1)</f>
        <v>2050</v>
      </c>
      <c r="D139" s="349">
        <f>IF(F138+SUM(E$100:E138)=D$93,F138,D$93-SUM(E$100:E138))</f>
        <v>0</v>
      </c>
      <c r="E139" s="509">
        <f>IF(+J97&lt;F138,J97,D139)</f>
        <v>0</v>
      </c>
      <c r="F139" s="510">
        <f t="shared" si="42"/>
        <v>0</v>
      </c>
      <c r="G139" s="510">
        <f t="shared" si="35"/>
        <v>0</v>
      </c>
      <c r="H139" s="523">
        <f t="shared" si="36"/>
        <v>0</v>
      </c>
      <c r="I139" s="572">
        <f t="shared" si="37"/>
        <v>0</v>
      </c>
      <c r="J139" s="504">
        <f t="shared" si="38"/>
        <v>0</v>
      </c>
      <c r="K139" s="504"/>
      <c r="L139" s="512"/>
      <c r="M139" s="504">
        <f t="shared" si="39"/>
        <v>0</v>
      </c>
      <c r="N139" s="512"/>
      <c r="O139" s="504">
        <f t="shared" si="40"/>
        <v>0</v>
      </c>
      <c r="P139" s="504">
        <f t="shared" si="41"/>
        <v>0</v>
      </c>
      <c r="Q139" s="243"/>
      <c r="R139" s="243"/>
      <c r="S139" s="243"/>
      <c r="T139" s="243"/>
      <c r="U139" s="243"/>
    </row>
    <row r="140" spans="2:21">
      <c r="B140" s="145" t="str">
        <f t="shared" si="34"/>
        <v/>
      </c>
      <c r="C140" s="495">
        <f>IF(D94="","-",+C139+1)</f>
        <v>2051</v>
      </c>
      <c r="D140" s="349">
        <f>IF(F139+SUM(E$100:E139)=D$93,F139,D$93-SUM(E$100:E139))</f>
        <v>0</v>
      </c>
      <c r="E140" s="509">
        <f>IF(+J97&lt;F139,J97,D140)</f>
        <v>0</v>
      </c>
      <c r="F140" s="510">
        <f t="shared" si="42"/>
        <v>0</v>
      </c>
      <c r="G140" s="510">
        <f t="shared" si="35"/>
        <v>0</v>
      </c>
      <c r="H140" s="523">
        <f t="shared" si="36"/>
        <v>0</v>
      </c>
      <c r="I140" s="572">
        <f t="shared" si="37"/>
        <v>0</v>
      </c>
      <c r="J140" s="504">
        <f t="shared" si="38"/>
        <v>0</v>
      </c>
      <c r="K140" s="504"/>
      <c r="L140" s="512"/>
      <c r="M140" s="504">
        <f t="shared" si="39"/>
        <v>0</v>
      </c>
      <c r="N140" s="512"/>
      <c r="O140" s="504">
        <f t="shared" si="40"/>
        <v>0</v>
      </c>
      <c r="P140" s="504">
        <f t="shared" si="41"/>
        <v>0</v>
      </c>
      <c r="Q140" s="243"/>
      <c r="R140" s="243"/>
      <c r="S140" s="243"/>
      <c r="T140" s="243"/>
      <c r="U140" s="243"/>
    </row>
    <row r="141" spans="2:21">
      <c r="B141" s="145" t="str">
        <f t="shared" si="34"/>
        <v/>
      </c>
      <c r="C141" s="495">
        <f>IF(D94="","-",+C140+1)</f>
        <v>2052</v>
      </c>
      <c r="D141" s="349">
        <f>IF(F140+SUM(E$100:E140)=D$93,F140,D$93-SUM(E$100:E140))</f>
        <v>0</v>
      </c>
      <c r="E141" s="509">
        <f>IF(+J97&lt;F140,J97,D141)</f>
        <v>0</v>
      </c>
      <c r="F141" s="510">
        <f t="shared" si="42"/>
        <v>0</v>
      </c>
      <c r="G141" s="510">
        <f t="shared" si="35"/>
        <v>0</v>
      </c>
      <c r="H141" s="523">
        <f t="shared" si="36"/>
        <v>0</v>
      </c>
      <c r="I141" s="572">
        <f t="shared" si="37"/>
        <v>0</v>
      </c>
      <c r="J141" s="504">
        <f t="shared" si="38"/>
        <v>0</v>
      </c>
      <c r="K141" s="504"/>
      <c r="L141" s="512"/>
      <c r="M141" s="504">
        <f t="shared" si="39"/>
        <v>0</v>
      </c>
      <c r="N141" s="512"/>
      <c r="O141" s="504">
        <f t="shared" si="40"/>
        <v>0</v>
      </c>
      <c r="P141" s="504">
        <f t="shared" si="41"/>
        <v>0</v>
      </c>
      <c r="Q141" s="243"/>
      <c r="R141" s="243"/>
      <c r="S141" s="243"/>
      <c r="T141" s="243"/>
      <c r="U141" s="243"/>
    </row>
    <row r="142" spans="2:21">
      <c r="B142" s="145" t="str">
        <f t="shared" si="34"/>
        <v/>
      </c>
      <c r="C142" s="495">
        <f>IF(D94="","-",+C141+1)</f>
        <v>2053</v>
      </c>
      <c r="D142" s="349">
        <f>IF(F141+SUM(E$100:E141)=D$93,F141,D$93-SUM(E$100:E141))</f>
        <v>0</v>
      </c>
      <c r="E142" s="509">
        <f>IF(+J97&lt;F141,J97,D142)</f>
        <v>0</v>
      </c>
      <c r="F142" s="510">
        <f t="shared" si="42"/>
        <v>0</v>
      </c>
      <c r="G142" s="510">
        <f t="shared" si="35"/>
        <v>0</v>
      </c>
      <c r="H142" s="523">
        <f t="shared" si="36"/>
        <v>0</v>
      </c>
      <c r="I142" s="572">
        <f t="shared" si="37"/>
        <v>0</v>
      </c>
      <c r="J142" s="504">
        <f t="shared" si="38"/>
        <v>0</v>
      </c>
      <c r="K142" s="504"/>
      <c r="L142" s="512"/>
      <c r="M142" s="504">
        <f t="shared" si="39"/>
        <v>0</v>
      </c>
      <c r="N142" s="512"/>
      <c r="O142" s="504">
        <f t="shared" si="40"/>
        <v>0</v>
      </c>
      <c r="P142" s="504">
        <f t="shared" si="41"/>
        <v>0</v>
      </c>
      <c r="Q142" s="243"/>
      <c r="R142" s="243"/>
      <c r="S142" s="243"/>
      <c r="T142" s="243"/>
      <c r="U142" s="243"/>
    </row>
    <row r="143" spans="2:21">
      <c r="B143" s="145" t="str">
        <f t="shared" si="34"/>
        <v/>
      </c>
      <c r="C143" s="495">
        <f>IF(D94="","-",+C142+1)</f>
        <v>2054</v>
      </c>
      <c r="D143" s="349">
        <f>IF(F142+SUM(E$100:E142)=D$93,F142,D$93-SUM(E$100:E142))</f>
        <v>0</v>
      </c>
      <c r="E143" s="509">
        <f>IF(+J97&lt;F142,J97,D143)</f>
        <v>0</v>
      </c>
      <c r="F143" s="510">
        <f t="shared" si="42"/>
        <v>0</v>
      </c>
      <c r="G143" s="510">
        <f t="shared" si="35"/>
        <v>0</v>
      </c>
      <c r="H143" s="523">
        <f t="shared" si="36"/>
        <v>0</v>
      </c>
      <c r="I143" s="572">
        <f t="shared" si="37"/>
        <v>0</v>
      </c>
      <c r="J143" s="504">
        <f t="shared" si="38"/>
        <v>0</v>
      </c>
      <c r="K143" s="504"/>
      <c r="L143" s="512"/>
      <c r="M143" s="504">
        <f t="shared" si="39"/>
        <v>0</v>
      </c>
      <c r="N143" s="512"/>
      <c r="O143" s="504">
        <f t="shared" si="40"/>
        <v>0</v>
      </c>
      <c r="P143" s="504">
        <f t="shared" si="41"/>
        <v>0</v>
      </c>
      <c r="Q143" s="243"/>
      <c r="R143" s="243"/>
      <c r="S143" s="243"/>
      <c r="T143" s="243"/>
      <c r="U143" s="243"/>
    </row>
    <row r="144" spans="2:21">
      <c r="B144" s="145" t="str">
        <f t="shared" si="34"/>
        <v/>
      </c>
      <c r="C144" s="495">
        <f>IF(D94="","-",+C143+1)</f>
        <v>2055</v>
      </c>
      <c r="D144" s="349">
        <f>IF(F143+SUM(E$100:E143)=D$93,F143,D$93-SUM(E$100:E143))</f>
        <v>0</v>
      </c>
      <c r="E144" s="509">
        <f>IF(+J97&lt;F143,J97,D144)</f>
        <v>0</v>
      </c>
      <c r="F144" s="510">
        <f t="shared" si="42"/>
        <v>0</v>
      </c>
      <c r="G144" s="510">
        <f t="shared" si="35"/>
        <v>0</v>
      </c>
      <c r="H144" s="523">
        <f t="shared" si="36"/>
        <v>0</v>
      </c>
      <c r="I144" s="572">
        <f t="shared" si="37"/>
        <v>0</v>
      </c>
      <c r="J144" s="504">
        <f t="shared" si="38"/>
        <v>0</v>
      </c>
      <c r="K144" s="504"/>
      <c r="L144" s="512"/>
      <c r="M144" s="504">
        <f t="shared" si="39"/>
        <v>0</v>
      </c>
      <c r="N144" s="512"/>
      <c r="O144" s="504">
        <f t="shared" si="40"/>
        <v>0</v>
      </c>
      <c r="P144" s="504">
        <f t="shared" si="41"/>
        <v>0</v>
      </c>
      <c r="Q144" s="243"/>
      <c r="R144" s="243"/>
      <c r="S144" s="243"/>
      <c r="T144" s="243"/>
      <c r="U144" s="243"/>
    </row>
    <row r="145" spans="2:21">
      <c r="B145" s="145" t="str">
        <f t="shared" si="34"/>
        <v/>
      </c>
      <c r="C145" s="495">
        <f>IF(D94="","-",+C144+1)</f>
        <v>2056</v>
      </c>
      <c r="D145" s="349">
        <f>IF(F144+SUM(E$100:E144)=D$93,F144,D$93-SUM(E$100:E144))</f>
        <v>0</v>
      </c>
      <c r="E145" s="509">
        <f>IF(+J97&lt;F144,J97,D145)</f>
        <v>0</v>
      </c>
      <c r="F145" s="510">
        <f t="shared" si="42"/>
        <v>0</v>
      </c>
      <c r="G145" s="510">
        <f t="shared" si="35"/>
        <v>0</v>
      </c>
      <c r="H145" s="523">
        <f t="shared" si="36"/>
        <v>0</v>
      </c>
      <c r="I145" s="572">
        <f t="shared" si="37"/>
        <v>0</v>
      </c>
      <c r="J145" s="504">
        <f t="shared" si="38"/>
        <v>0</v>
      </c>
      <c r="K145" s="504"/>
      <c r="L145" s="512"/>
      <c r="M145" s="504">
        <f t="shared" si="39"/>
        <v>0</v>
      </c>
      <c r="N145" s="512"/>
      <c r="O145" s="504">
        <f t="shared" si="40"/>
        <v>0</v>
      </c>
      <c r="P145" s="504">
        <f t="shared" si="41"/>
        <v>0</v>
      </c>
      <c r="Q145" s="243"/>
      <c r="R145" s="243"/>
      <c r="S145" s="243"/>
      <c r="T145" s="243"/>
      <c r="U145" s="243"/>
    </row>
    <row r="146" spans="2:21">
      <c r="B146" s="145" t="str">
        <f t="shared" si="34"/>
        <v/>
      </c>
      <c r="C146" s="495">
        <f>IF(D94="","-",+C145+1)</f>
        <v>2057</v>
      </c>
      <c r="D146" s="349">
        <f>IF(F145+SUM(E$100:E145)=D$93,F145,D$93-SUM(E$100:E145))</f>
        <v>0</v>
      </c>
      <c r="E146" s="509">
        <f>IF(+J97&lt;F145,J97,D146)</f>
        <v>0</v>
      </c>
      <c r="F146" s="510">
        <f t="shared" si="42"/>
        <v>0</v>
      </c>
      <c r="G146" s="510">
        <f t="shared" si="35"/>
        <v>0</v>
      </c>
      <c r="H146" s="523">
        <f t="shared" si="36"/>
        <v>0</v>
      </c>
      <c r="I146" s="572">
        <f t="shared" si="37"/>
        <v>0</v>
      </c>
      <c r="J146" s="504">
        <f t="shared" si="38"/>
        <v>0</v>
      </c>
      <c r="K146" s="504"/>
      <c r="L146" s="512"/>
      <c r="M146" s="504">
        <f t="shared" si="39"/>
        <v>0</v>
      </c>
      <c r="N146" s="512"/>
      <c r="O146" s="504">
        <f t="shared" si="40"/>
        <v>0</v>
      </c>
      <c r="P146" s="504">
        <f t="shared" si="41"/>
        <v>0</v>
      </c>
      <c r="Q146" s="243"/>
      <c r="R146" s="243"/>
      <c r="S146" s="243"/>
      <c r="T146" s="243"/>
      <c r="U146" s="243"/>
    </row>
    <row r="147" spans="2:21">
      <c r="B147" s="145" t="str">
        <f t="shared" si="34"/>
        <v/>
      </c>
      <c r="C147" s="495">
        <f>IF(D94="","-",+C146+1)</f>
        <v>2058</v>
      </c>
      <c r="D147" s="349">
        <f>IF(F146+SUM(E$100:E146)=D$93,F146,D$93-SUM(E$100:E146))</f>
        <v>0</v>
      </c>
      <c r="E147" s="509">
        <f>IF(+J97&lt;F146,J97,D147)</f>
        <v>0</v>
      </c>
      <c r="F147" s="510">
        <f t="shared" si="42"/>
        <v>0</v>
      </c>
      <c r="G147" s="510">
        <f t="shared" si="35"/>
        <v>0</v>
      </c>
      <c r="H147" s="523">
        <f t="shared" si="36"/>
        <v>0</v>
      </c>
      <c r="I147" s="572">
        <f t="shared" si="37"/>
        <v>0</v>
      </c>
      <c r="J147" s="504">
        <f t="shared" si="38"/>
        <v>0</v>
      </c>
      <c r="K147" s="504"/>
      <c r="L147" s="512"/>
      <c r="M147" s="504">
        <f t="shared" si="39"/>
        <v>0</v>
      </c>
      <c r="N147" s="512"/>
      <c r="O147" s="504">
        <f t="shared" si="40"/>
        <v>0</v>
      </c>
      <c r="P147" s="504">
        <f t="shared" si="41"/>
        <v>0</v>
      </c>
      <c r="Q147" s="243"/>
      <c r="R147" s="243"/>
      <c r="S147" s="243"/>
      <c r="T147" s="243"/>
      <c r="U147" s="243"/>
    </row>
    <row r="148" spans="2:21">
      <c r="B148" s="145" t="str">
        <f t="shared" si="34"/>
        <v/>
      </c>
      <c r="C148" s="495">
        <f>IF(D94="","-",+C147+1)</f>
        <v>2059</v>
      </c>
      <c r="D148" s="349">
        <f>IF(F147+SUM(E$100:E147)=D$93,F147,D$93-SUM(E$100:E147))</f>
        <v>0</v>
      </c>
      <c r="E148" s="509">
        <f>IF(+J97&lt;F147,J97,D148)</f>
        <v>0</v>
      </c>
      <c r="F148" s="510">
        <f t="shared" si="42"/>
        <v>0</v>
      </c>
      <c r="G148" s="510">
        <f t="shared" si="35"/>
        <v>0</v>
      </c>
      <c r="H148" s="523">
        <f t="shared" si="36"/>
        <v>0</v>
      </c>
      <c r="I148" s="572">
        <f t="shared" si="37"/>
        <v>0</v>
      </c>
      <c r="J148" s="504">
        <f t="shared" si="38"/>
        <v>0</v>
      </c>
      <c r="K148" s="504"/>
      <c r="L148" s="512"/>
      <c r="M148" s="504">
        <f t="shared" si="39"/>
        <v>0</v>
      </c>
      <c r="N148" s="512"/>
      <c r="O148" s="504">
        <f t="shared" si="40"/>
        <v>0</v>
      </c>
      <c r="P148" s="504">
        <f t="shared" si="41"/>
        <v>0</v>
      </c>
      <c r="Q148" s="243"/>
      <c r="R148" s="243"/>
      <c r="S148" s="243"/>
      <c r="T148" s="243"/>
      <c r="U148" s="243"/>
    </row>
    <row r="149" spans="2:21">
      <c r="B149" s="145" t="str">
        <f t="shared" si="34"/>
        <v/>
      </c>
      <c r="C149" s="495">
        <f>IF(D94="","-",+C148+1)</f>
        <v>2060</v>
      </c>
      <c r="D149" s="349">
        <f>IF(F148+SUM(E$100:E148)=D$93,F148,D$93-SUM(E$100:E148))</f>
        <v>0</v>
      </c>
      <c r="E149" s="509">
        <f>IF(+J97&lt;F148,J97,D149)</f>
        <v>0</v>
      </c>
      <c r="F149" s="510">
        <f t="shared" si="42"/>
        <v>0</v>
      </c>
      <c r="G149" s="510">
        <f t="shared" si="35"/>
        <v>0</v>
      </c>
      <c r="H149" s="523">
        <f t="shared" si="36"/>
        <v>0</v>
      </c>
      <c r="I149" s="572">
        <f t="shared" si="37"/>
        <v>0</v>
      </c>
      <c r="J149" s="504">
        <f t="shared" si="38"/>
        <v>0</v>
      </c>
      <c r="K149" s="504"/>
      <c r="L149" s="512"/>
      <c r="M149" s="504">
        <f t="shared" si="39"/>
        <v>0</v>
      </c>
      <c r="N149" s="512"/>
      <c r="O149" s="504">
        <f t="shared" si="40"/>
        <v>0</v>
      </c>
      <c r="P149" s="504">
        <f t="shared" si="41"/>
        <v>0</v>
      </c>
      <c r="Q149" s="243"/>
      <c r="R149" s="243"/>
      <c r="S149" s="243"/>
      <c r="T149" s="243"/>
      <c r="U149" s="243"/>
    </row>
    <row r="150" spans="2:21">
      <c r="B150" s="145" t="str">
        <f t="shared" si="34"/>
        <v/>
      </c>
      <c r="C150" s="495">
        <f>IF(D94="","-",+C149+1)</f>
        <v>2061</v>
      </c>
      <c r="D150" s="349">
        <f>IF(F149+SUM(E$100:E149)=D$93,F149,D$93-SUM(E$100:E149))</f>
        <v>0</v>
      </c>
      <c r="E150" s="509">
        <f>IF(+J97&lt;F149,J97,D150)</f>
        <v>0</v>
      </c>
      <c r="F150" s="510">
        <f t="shared" si="42"/>
        <v>0</v>
      </c>
      <c r="G150" s="510">
        <f t="shared" si="35"/>
        <v>0</v>
      </c>
      <c r="H150" s="523">
        <f t="shared" si="36"/>
        <v>0</v>
      </c>
      <c r="I150" s="572">
        <f t="shared" si="37"/>
        <v>0</v>
      </c>
      <c r="J150" s="504">
        <f t="shared" si="38"/>
        <v>0</v>
      </c>
      <c r="K150" s="504"/>
      <c r="L150" s="512"/>
      <c r="M150" s="504">
        <f t="shared" si="39"/>
        <v>0</v>
      </c>
      <c r="N150" s="512"/>
      <c r="O150" s="504">
        <f t="shared" si="40"/>
        <v>0</v>
      </c>
      <c r="P150" s="504">
        <f t="shared" si="41"/>
        <v>0</v>
      </c>
      <c r="Q150" s="243"/>
      <c r="R150" s="243"/>
      <c r="S150" s="243"/>
      <c r="T150" s="243"/>
      <c r="U150" s="243"/>
    </row>
    <row r="151" spans="2:21">
      <c r="B151" s="145" t="str">
        <f t="shared" si="34"/>
        <v/>
      </c>
      <c r="C151" s="495">
        <f>IF(D94="","-",+C150+1)</f>
        <v>2062</v>
      </c>
      <c r="D151" s="349">
        <f>IF(F150+SUM(E$100:E150)=D$93,F150,D$93-SUM(E$100:E150))</f>
        <v>0</v>
      </c>
      <c r="E151" s="509">
        <f>IF(+J97&lt;F150,J97,D151)</f>
        <v>0</v>
      </c>
      <c r="F151" s="510">
        <f t="shared" si="42"/>
        <v>0</v>
      </c>
      <c r="G151" s="510">
        <f t="shared" si="35"/>
        <v>0</v>
      </c>
      <c r="H151" s="523">
        <f t="shared" si="36"/>
        <v>0</v>
      </c>
      <c r="I151" s="572">
        <f t="shared" si="37"/>
        <v>0</v>
      </c>
      <c r="J151" s="504">
        <f t="shared" si="38"/>
        <v>0</v>
      </c>
      <c r="K151" s="504"/>
      <c r="L151" s="512"/>
      <c r="M151" s="504">
        <f t="shared" si="39"/>
        <v>0</v>
      </c>
      <c r="N151" s="512"/>
      <c r="O151" s="504">
        <f t="shared" si="40"/>
        <v>0</v>
      </c>
      <c r="P151" s="504">
        <f t="shared" si="41"/>
        <v>0</v>
      </c>
      <c r="Q151" s="243"/>
      <c r="R151" s="243"/>
      <c r="S151" s="243"/>
      <c r="T151" s="243"/>
      <c r="U151" s="243"/>
    </row>
    <row r="152" spans="2:21">
      <c r="B152" s="145" t="str">
        <f t="shared" si="34"/>
        <v/>
      </c>
      <c r="C152" s="495">
        <f>IF(D94="","-",+C151+1)</f>
        <v>2063</v>
      </c>
      <c r="D152" s="349">
        <f>IF(F151+SUM(E$100:E151)=D$93,F151,D$93-SUM(E$100:E151))</f>
        <v>0</v>
      </c>
      <c r="E152" s="509">
        <f>IF(+J97&lt;F151,J97,D152)</f>
        <v>0</v>
      </c>
      <c r="F152" s="510">
        <f t="shared" si="42"/>
        <v>0</v>
      </c>
      <c r="G152" s="510">
        <f t="shared" si="35"/>
        <v>0</v>
      </c>
      <c r="H152" s="523">
        <f t="shared" si="36"/>
        <v>0</v>
      </c>
      <c r="I152" s="572">
        <f t="shared" si="37"/>
        <v>0</v>
      </c>
      <c r="J152" s="504">
        <f t="shared" si="38"/>
        <v>0</v>
      </c>
      <c r="K152" s="504"/>
      <c r="L152" s="512"/>
      <c r="M152" s="504">
        <f t="shared" si="39"/>
        <v>0</v>
      </c>
      <c r="N152" s="512"/>
      <c r="O152" s="504">
        <f t="shared" si="40"/>
        <v>0</v>
      </c>
      <c r="P152" s="504">
        <f t="shared" si="41"/>
        <v>0</v>
      </c>
      <c r="Q152" s="243"/>
      <c r="R152" s="243"/>
      <c r="S152" s="243"/>
      <c r="T152" s="243"/>
      <c r="U152" s="243"/>
    </row>
    <row r="153" spans="2:21">
      <c r="B153" s="145" t="str">
        <f t="shared" si="34"/>
        <v/>
      </c>
      <c r="C153" s="495">
        <f>IF(D94="","-",+C152+1)</f>
        <v>2064</v>
      </c>
      <c r="D153" s="349">
        <f>IF(F152+SUM(E$100:E152)=D$93,F152,D$93-SUM(E$100:E152))</f>
        <v>0</v>
      </c>
      <c r="E153" s="509">
        <f>IF(+J97&lt;F152,J97,D153)</f>
        <v>0</v>
      </c>
      <c r="F153" s="510">
        <f t="shared" si="42"/>
        <v>0</v>
      </c>
      <c r="G153" s="510">
        <f t="shared" si="35"/>
        <v>0</v>
      </c>
      <c r="H153" s="523">
        <f t="shared" si="36"/>
        <v>0</v>
      </c>
      <c r="I153" s="572">
        <f t="shared" si="37"/>
        <v>0</v>
      </c>
      <c r="J153" s="504">
        <f t="shared" si="38"/>
        <v>0</v>
      </c>
      <c r="K153" s="504"/>
      <c r="L153" s="512"/>
      <c r="M153" s="504">
        <f t="shared" si="39"/>
        <v>0</v>
      </c>
      <c r="N153" s="512"/>
      <c r="O153" s="504">
        <f t="shared" si="40"/>
        <v>0</v>
      </c>
      <c r="P153" s="504">
        <f t="shared" si="41"/>
        <v>0</v>
      </c>
      <c r="Q153" s="243"/>
      <c r="R153" s="243"/>
      <c r="S153" s="243"/>
      <c r="T153" s="243"/>
      <c r="U153" s="243"/>
    </row>
    <row r="154" spans="2:21">
      <c r="B154" s="145" t="str">
        <f t="shared" si="34"/>
        <v/>
      </c>
      <c r="C154" s="495">
        <f>IF(D94="","-",+C153+1)</f>
        <v>2065</v>
      </c>
      <c r="D154" s="349">
        <f>IF(F153+SUM(E$100:E153)=D$93,F153,D$93-SUM(E$100:E153))</f>
        <v>0</v>
      </c>
      <c r="E154" s="509">
        <f>IF(+J97&lt;F153,J97,D154)</f>
        <v>0</v>
      </c>
      <c r="F154" s="510">
        <f t="shared" si="42"/>
        <v>0</v>
      </c>
      <c r="G154" s="510">
        <f t="shared" si="35"/>
        <v>0</v>
      </c>
      <c r="H154" s="523">
        <f t="shared" si="36"/>
        <v>0</v>
      </c>
      <c r="I154" s="572">
        <f t="shared" si="37"/>
        <v>0</v>
      </c>
      <c r="J154" s="504">
        <f t="shared" si="38"/>
        <v>0</v>
      </c>
      <c r="K154" s="504"/>
      <c r="L154" s="512"/>
      <c r="M154" s="504">
        <f t="shared" si="39"/>
        <v>0</v>
      </c>
      <c r="N154" s="512"/>
      <c r="O154" s="504">
        <f t="shared" si="40"/>
        <v>0</v>
      </c>
      <c r="P154" s="504">
        <f t="shared" si="41"/>
        <v>0</v>
      </c>
      <c r="Q154" s="243"/>
      <c r="R154" s="243"/>
      <c r="S154" s="243"/>
      <c r="T154" s="243"/>
      <c r="U154" s="243"/>
    </row>
    <row r="155" spans="2:21" ht="13.5" thickBot="1">
      <c r="B155" s="145" t="str">
        <f t="shared" si="34"/>
        <v/>
      </c>
      <c r="C155" s="524">
        <f>IF(D94="","-",+C154+1)</f>
        <v>2066</v>
      </c>
      <c r="D155" s="527">
        <f>IF(F154+SUM(E$100:E154)=D$93,F154,D$93-SUM(E$100:E154))</f>
        <v>0</v>
      </c>
      <c r="E155" s="526">
        <f>IF(+J97&lt;F154,J97,D155)</f>
        <v>0</v>
      </c>
      <c r="F155" s="527">
        <f t="shared" si="42"/>
        <v>0</v>
      </c>
      <c r="G155" s="527">
        <f t="shared" si="35"/>
        <v>0</v>
      </c>
      <c r="H155" s="528">
        <f t="shared" si="36"/>
        <v>0</v>
      </c>
      <c r="I155" s="573">
        <f t="shared" si="37"/>
        <v>0</v>
      </c>
      <c r="J155" s="531">
        <f t="shared" si="38"/>
        <v>0</v>
      </c>
      <c r="K155" s="504"/>
      <c r="L155" s="530"/>
      <c r="M155" s="531">
        <f t="shared" si="39"/>
        <v>0</v>
      </c>
      <c r="N155" s="530"/>
      <c r="O155" s="531">
        <f t="shared" si="40"/>
        <v>0</v>
      </c>
      <c r="P155" s="531">
        <f t="shared" si="41"/>
        <v>0</v>
      </c>
      <c r="Q155" s="243"/>
      <c r="R155" s="243"/>
      <c r="S155" s="243"/>
      <c r="T155" s="243"/>
      <c r="U155" s="243"/>
    </row>
    <row r="156" spans="2:21">
      <c r="C156" s="349" t="s">
        <v>75</v>
      </c>
      <c r="D156" s="294"/>
      <c r="E156" s="294">
        <f>SUM(E100:E155)</f>
        <v>11038232</v>
      </c>
      <c r="F156" s="294"/>
      <c r="G156" s="294"/>
      <c r="H156" s="294">
        <f>SUM(H100:H155)</f>
        <v>29470817.051278971</v>
      </c>
      <c r="I156" s="294">
        <f>SUM(I100:I155)</f>
        <v>29470817.051278971</v>
      </c>
      <c r="J156" s="294">
        <f>SUM(J100:J155)</f>
        <v>0</v>
      </c>
      <c r="K156" s="294"/>
      <c r="L156" s="294"/>
      <c r="M156" s="294"/>
      <c r="N156" s="294"/>
      <c r="O156" s="294"/>
      <c r="P156" s="243"/>
      <c r="Q156" s="243"/>
      <c r="R156" s="243"/>
      <c r="S156" s="243"/>
      <c r="T156" s="243"/>
      <c r="U156" s="243"/>
    </row>
    <row r="157" spans="2:21">
      <c r="D157" s="292"/>
      <c r="E157" s="243"/>
      <c r="F157" s="243"/>
      <c r="G157" s="243"/>
      <c r="H157" s="243"/>
      <c r="I157" s="325"/>
      <c r="J157" s="325"/>
      <c r="K157" s="294"/>
      <c r="L157" s="325"/>
      <c r="M157" s="325"/>
      <c r="N157" s="325"/>
      <c r="O157" s="325"/>
      <c r="P157" s="243"/>
      <c r="Q157" s="243"/>
      <c r="R157" s="243"/>
      <c r="S157" s="243"/>
      <c r="T157" s="243"/>
      <c r="U157" s="243"/>
    </row>
    <row r="158" spans="2:21">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c r="D159" s="292"/>
      <c r="E159" s="243"/>
      <c r="F159" s="243"/>
      <c r="G159" s="243"/>
      <c r="H159" s="243"/>
      <c r="I159" s="325"/>
      <c r="J159" s="325"/>
      <c r="K159" s="294"/>
      <c r="L159" s="325"/>
      <c r="M159" s="325"/>
      <c r="N159" s="325"/>
      <c r="O159" s="325"/>
      <c r="P159" s="243"/>
      <c r="Q159" s="243"/>
      <c r="R159" s="243"/>
      <c r="S159" s="243"/>
      <c r="T159" s="243"/>
      <c r="U159" s="243"/>
    </row>
    <row r="160" spans="2:21">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53" priority="1" stopIfTrue="1" operator="equal">
      <formula>$I$10</formula>
    </cfRule>
  </conditionalFormatting>
  <conditionalFormatting sqref="C100:C155">
    <cfRule type="cellIs" dxfId="52"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1"/>
  </sheetPr>
  <dimension ref="A1:U163"/>
  <sheetViews>
    <sheetView view="pageBreakPreview" topLeftCell="A4" zoomScale="90" zoomScaleNormal="100" zoomScaleSheetLayoutView="90"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5 of 23</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0</v>
      </c>
      <c r="P5" s="243"/>
      <c r="R5" s="243"/>
      <c r="S5" s="243"/>
      <c r="T5" s="243"/>
      <c r="U5" s="243"/>
    </row>
    <row r="6" spans="1:21" ht="15.75">
      <c r="C6" s="235"/>
      <c r="D6" s="292"/>
      <c r="E6" s="243"/>
      <c r="F6" s="243"/>
      <c r="G6" s="243"/>
      <c r="H6" s="449"/>
      <c r="I6" s="449"/>
      <c r="J6" s="450"/>
      <c r="K6" s="451" t="s">
        <v>243</v>
      </c>
      <c r="L6" s="452"/>
      <c r="M6" s="278"/>
      <c r="N6" s="453">
        <f>VLOOKUP(I10,C17:I73,6)</f>
        <v>0</v>
      </c>
      <c r="O6" s="243"/>
      <c r="P6" s="243"/>
      <c r="R6" s="243"/>
      <c r="S6" s="243"/>
      <c r="T6" s="243"/>
      <c r="U6" s="243"/>
    </row>
    <row r="7" spans="1:21" ht="13.5" thickBot="1">
      <c r="C7" s="454" t="s">
        <v>46</v>
      </c>
      <c r="D7" s="455" t="s">
        <v>211</v>
      </c>
      <c r="E7" s="243"/>
      <c r="F7" s="243"/>
      <c r="G7" s="243"/>
      <c r="H7" s="325"/>
      <c r="I7" s="325"/>
      <c r="J7" s="294"/>
      <c r="K7" s="456" t="s">
        <v>47</v>
      </c>
      <c r="L7" s="457"/>
      <c r="M7" s="457"/>
      <c r="N7" s="458">
        <f>+N6-N5</f>
        <v>0</v>
      </c>
      <c r="O7" s="243"/>
      <c r="P7" s="243"/>
      <c r="R7" s="243"/>
      <c r="S7" s="243"/>
      <c r="T7" s="243"/>
      <c r="U7" s="243"/>
    </row>
    <row r="8" spans="1:21" ht="13.5" thickBot="1">
      <c r="C8" s="459"/>
      <c r="D8" s="604" t="s">
        <v>209</v>
      </c>
      <c r="E8" s="461"/>
      <c r="F8" s="461"/>
      <c r="G8" s="461"/>
      <c r="H8" s="461"/>
      <c r="I8" s="461"/>
      <c r="J8" s="462"/>
      <c r="K8" s="461"/>
      <c r="L8" s="461"/>
      <c r="M8" s="461"/>
      <c r="N8" s="461"/>
      <c r="O8" s="462"/>
      <c r="P8" s="248"/>
      <c r="R8" s="243"/>
      <c r="S8" s="243"/>
      <c r="T8" s="243"/>
      <c r="U8" s="243"/>
    </row>
    <row r="9" spans="1:21" ht="13.5" thickBot="1">
      <c r="A9" s="152"/>
      <c r="C9" s="463" t="s">
        <v>48</v>
      </c>
      <c r="D9" s="464" t="s">
        <v>204</v>
      </c>
      <c r="E9" s="647" t="s">
        <v>308</v>
      </c>
      <c r="F9" s="465"/>
      <c r="G9" s="465"/>
      <c r="H9" s="465"/>
      <c r="I9" s="466"/>
      <c r="J9" s="467"/>
      <c r="O9" s="468"/>
      <c r="P9" s="278"/>
      <c r="R9" s="243"/>
      <c r="S9" s="243"/>
      <c r="T9" s="243"/>
      <c r="U9" s="243"/>
    </row>
    <row r="10" spans="1:21">
      <c r="C10" s="469" t="s">
        <v>49</v>
      </c>
      <c r="D10" s="470">
        <v>0</v>
      </c>
      <c r="E10" s="299" t="s">
        <v>50</v>
      </c>
      <c r="F10" s="468"/>
      <c r="G10" s="408"/>
      <c r="H10" s="408"/>
      <c r="I10" s="471">
        <f>+OKT.WS.F.BPU.ATRR.Projected!R101</f>
        <v>2022</v>
      </c>
      <c r="J10" s="467"/>
      <c r="K10" s="294" t="s">
        <v>51</v>
      </c>
      <c r="O10" s="278"/>
      <c r="P10" s="278"/>
      <c r="R10" s="243"/>
      <c r="S10" s="243"/>
      <c r="T10" s="243"/>
      <c r="U10" s="243"/>
    </row>
    <row r="11" spans="1:21">
      <c r="C11" s="472" t="s">
        <v>52</v>
      </c>
      <c r="D11" s="473">
        <v>2012</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4</v>
      </c>
      <c r="E12" s="472" t="s">
        <v>55</v>
      </c>
      <c r="F12" s="408"/>
      <c r="G12" s="220"/>
      <c r="H12" s="220"/>
      <c r="I12" s="476">
        <f>OKT.WS.F.BPU.ATRR.Projected!$F$79</f>
        <v>0.11475877389767174</v>
      </c>
      <c r="J12" s="578"/>
      <c r="K12" s="145" t="s">
        <v>56</v>
      </c>
      <c r="O12" s="278"/>
      <c r="P12" s="278"/>
      <c r="R12" s="243"/>
      <c r="S12" s="243"/>
      <c r="T12" s="243"/>
      <c r="U12" s="243"/>
    </row>
    <row r="13" spans="1:21">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0</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49" si="0">IF(D17=F16,"","IU")</f>
        <v>IU</v>
      </c>
      <c r="C17" s="580">
        <f>IF(D11= "","-",D11)</f>
        <v>2012</v>
      </c>
      <c r="D17" s="496">
        <v>3951600</v>
      </c>
      <c r="E17" s="497">
        <v>45573.039110189922</v>
      </c>
      <c r="F17" s="496">
        <v>3906026.9608898102</v>
      </c>
      <c r="G17" s="498">
        <v>423078.95453720703</v>
      </c>
      <c r="H17" s="499">
        <v>423078.95453720703</v>
      </c>
      <c r="I17" s="584">
        <v>0</v>
      </c>
      <c r="J17" s="500"/>
      <c r="K17" s="501">
        <f>G17</f>
        <v>423078.95453720703</v>
      </c>
      <c r="L17" s="502">
        <f t="shared" ref="L17:L49" si="1">IF(K17&lt;&gt;0,+G17-K17,0)</f>
        <v>0</v>
      </c>
      <c r="M17" s="501">
        <f>H17</f>
        <v>423078.95453720703</v>
      </c>
      <c r="N17" s="503">
        <f t="shared" ref="N17:N49" si="2">IF(M17&lt;&gt;0,+H17-M17,0)</f>
        <v>0</v>
      </c>
      <c r="O17" s="504">
        <f t="shared" ref="O17:O49" si="3">+N17-L17</f>
        <v>0</v>
      </c>
      <c r="P17" s="278"/>
      <c r="R17" s="243"/>
      <c r="S17" s="243"/>
      <c r="T17" s="243"/>
      <c r="U17" s="243"/>
    </row>
    <row r="18" spans="2:21">
      <c r="B18" s="145" t="str">
        <f t="shared" si="0"/>
        <v>IU</v>
      </c>
      <c r="C18" s="495">
        <f>IF(D$11="","-",+C17+1)</f>
        <v>2013</v>
      </c>
      <c r="D18" s="508"/>
      <c r="E18" s="509">
        <f t="shared" ref="E18:E32" si="4">IF(+I$14&lt;F17,I$14,D18)</f>
        <v>0</v>
      </c>
      <c r="F18" s="510">
        <f t="shared" ref="F18:F49" si="5">+D18-E18</f>
        <v>0</v>
      </c>
      <c r="G18" s="511">
        <f t="shared" ref="G18:G73" si="6">(D18+F18)/2*I$12+E18</f>
        <v>0</v>
      </c>
      <c r="H18" s="477">
        <f t="shared" ref="H18:H73" si="7">+(D18+F18)/2*I$13+E18</f>
        <v>0</v>
      </c>
      <c r="I18" s="500">
        <f t="shared" ref="I18:I49" si="8">H18-G18</f>
        <v>0</v>
      </c>
      <c r="J18" s="500"/>
      <c r="K18" s="512"/>
      <c r="L18" s="504">
        <f t="shared" si="1"/>
        <v>0</v>
      </c>
      <c r="M18" s="512"/>
      <c r="N18" s="504">
        <f t="shared" si="2"/>
        <v>0</v>
      </c>
      <c r="O18" s="504">
        <f t="shared" si="3"/>
        <v>0</v>
      </c>
      <c r="P18" s="278"/>
      <c r="R18" s="243"/>
      <c r="S18" s="243"/>
      <c r="T18" s="243"/>
      <c r="U18" s="243"/>
    </row>
    <row r="19" spans="2:21">
      <c r="B19" s="145" t="str">
        <f t="shared" si="0"/>
        <v/>
      </c>
      <c r="C19" s="495">
        <f>IF(D$11="","-",+C18+1)</f>
        <v>2014</v>
      </c>
      <c r="D19" s="508"/>
      <c r="E19" s="509">
        <f t="shared" si="4"/>
        <v>0</v>
      </c>
      <c r="F19" s="510">
        <f t="shared" si="5"/>
        <v>0</v>
      </c>
      <c r="G19" s="511">
        <f t="shared" si="6"/>
        <v>0</v>
      </c>
      <c r="H19" s="477">
        <f t="shared" si="7"/>
        <v>0</v>
      </c>
      <c r="I19" s="500">
        <f t="shared" si="8"/>
        <v>0</v>
      </c>
      <c r="J19" s="500"/>
      <c r="K19" s="512"/>
      <c r="L19" s="504">
        <f t="shared" si="1"/>
        <v>0</v>
      </c>
      <c r="M19" s="512"/>
      <c r="N19" s="504">
        <f t="shared" si="2"/>
        <v>0</v>
      </c>
      <c r="O19" s="504">
        <f t="shared" si="3"/>
        <v>0</v>
      </c>
      <c r="P19" s="278"/>
      <c r="R19" s="243"/>
      <c r="S19" s="243"/>
      <c r="T19" s="243"/>
      <c r="U19" s="243"/>
    </row>
    <row r="20" spans="2:21">
      <c r="B20" s="145" t="str">
        <f t="shared" si="0"/>
        <v/>
      </c>
      <c r="C20" s="495">
        <f>IF(D$11="","-",+C19+1)</f>
        <v>2015</v>
      </c>
      <c r="D20" s="508"/>
      <c r="E20" s="509">
        <f t="shared" si="4"/>
        <v>0</v>
      </c>
      <c r="F20" s="510">
        <f t="shared" si="5"/>
        <v>0</v>
      </c>
      <c r="G20" s="511">
        <f t="shared" si="6"/>
        <v>0</v>
      </c>
      <c r="H20" s="477">
        <f t="shared" si="7"/>
        <v>0</v>
      </c>
      <c r="I20" s="500">
        <f t="shared" si="8"/>
        <v>0</v>
      </c>
      <c r="J20" s="500"/>
      <c r="K20" s="512"/>
      <c r="L20" s="504">
        <f t="shared" si="1"/>
        <v>0</v>
      </c>
      <c r="M20" s="512"/>
      <c r="N20" s="504">
        <f t="shared" si="2"/>
        <v>0</v>
      </c>
      <c r="O20" s="504">
        <f t="shared" si="3"/>
        <v>0</v>
      </c>
      <c r="P20" s="278"/>
      <c r="R20" s="243"/>
      <c r="S20" s="243"/>
      <c r="T20" s="243"/>
      <c r="U20" s="243"/>
    </row>
    <row r="21" spans="2:21">
      <c r="B21" s="145" t="str">
        <f t="shared" si="0"/>
        <v/>
      </c>
      <c r="C21" s="495">
        <f>IF(D12="","-",+C20+1)</f>
        <v>2016</v>
      </c>
      <c r="D21" s="508"/>
      <c r="E21" s="509">
        <f t="shared" si="4"/>
        <v>0</v>
      </c>
      <c r="F21" s="510">
        <f t="shared" si="5"/>
        <v>0</v>
      </c>
      <c r="G21" s="511">
        <f t="shared" si="6"/>
        <v>0</v>
      </c>
      <c r="H21" s="477">
        <f t="shared" si="7"/>
        <v>0</v>
      </c>
      <c r="I21" s="500">
        <f t="shared" si="8"/>
        <v>0</v>
      </c>
      <c r="J21" s="500"/>
      <c r="K21" s="512"/>
      <c r="L21" s="504">
        <f t="shared" si="1"/>
        <v>0</v>
      </c>
      <c r="M21" s="512"/>
      <c r="N21" s="504">
        <f t="shared" si="2"/>
        <v>0</v>
      </c>
      <c r="O21" s="504">
        <f t="shared" si="3"/>
        <v>0</v>
      </c>
      <c r="P21" s="278"/>
      <c r="R21" s="243"/>
      <c r="S21" s="243"/>
      <c r="T21" s="243"/>
      <c r="U21" s="243"/>
    </row>
    <row r="22" spans="2:21">
      <c r="B22" s="145" t="str">
        <f t="shared" si="0"/>
        <v/>
      </c>
      <c r="C22" s="495">
        <f>IF(D$11="","-",+C21+1)</f>
        <v>2017</v>
      </c>
      <c r="D22" s="508"/>
      <c r="E22" s="509">
        <f t="shared" si="4"/>
        <v>0</v>
      </c>
      <c r="F22" s="510">
        <f t="shared" si="5"/>
        <v>0</v>
      </c>
      <c r="G22" s="511">
        <f t="shared" si="6"/>
        <v>0</v>
      </c>
      <c r="H22" s="477">
        <f t="shared" si="7"/>
        <v>0</v>
      </c>
      <c r="I22" s="500">
        <f t="shared" si="8"/>
        <v>0</v>
      </c>
      <c r="J22" s="500"/>
      <c r="K22" s="512"/>
      <c r="L22" s="504">
        <f t="shared" si="1"/>
        <v>0</v>
      </c>
      <c r="M22" s="512"/>
      <c r="N22" s="504">
        <f t="shared" si="2"/>
        <v>0</v>
      </c>
      <c r="O22" s="504">
        <f t="shared" si="3"/>
        <v>0</v>
      </c>
      <c r="P22" s="278"/>
      <c r="R22" s="243"/>
      <c r="S22" s="243"/>
      <c r="T22" s="243"/>
      <c r="U22" s="243"/>
    </row>
    <row r="23" spans="2:21">
      <c r="B23" s="145" t="str">
        <f t="shared" si="0"/>
        <v/>
      </c>
      <c r="C23" s="495">
        <f>IF(D$11="","-",+C22+1)</f>
        <v>2018</v>
      </c>
      <c r="D23" s="508"/>
      <c r="E23" s="509">
        <f t="shared" si="4"/>
        <v>0</v>
      </c>
      <c r="F23" s="510">
        <f t="shared" si="5"/>
        <v>0</v>
      </c>
      <c r="G23" s="511">
        <f t="shared" si="6"/>
        <v>0</v>
      </c>
      <c r="H23" s="477">
        <f t="shared" si="7"/>
        <v>0</v>
      </c>
      <c r="I23" s="500">
        <f t="shared" si="8"/>
        <v>0</v>
      </c>
      <c r="J23" s="500"/>
      <c r="K23" s="512"/>
      <c r="L23" s="504">
        <f t="shared" si="1"/>
        <v>0</v>
      </c>
      <c r="M23" s="512"/>
      <c r="N23" s="504">
        <f t="shared" si="2"/>
        <v>0</v>
      </c>
      <c r="O23" s="504">
        <f t="shared" si="3"/>
        <v>0</v>
      </c>
      <c r="P23" s="278"/>
      <c r="R23" s="243"/>
      <c r="S23" s="243"/>
      <c r="T23" s="243"/>
      <c r="U23" s="243"/>
    </row>
    <row r="24" spans="2:21">
      <c r="B24" s="145" t="str">
        <f t="shared" si="0"/>
        <v/>
      </c>
      <c r="C24" s="495">
        <f>IF(D$11="","-",+C23+1)</f>
        <v>2019</v>
      </c>
      <c r="D24" s="508"/>
      <c r="E24" s="509">
        <f t="shared" si="4"/>
        <v>0</v>
      </c>
      <c r="F24" s="510">
        <f t="shared" si="5"/>
        <v>0</v>
      </c>
      <c r="G24" s="511">
        <f t="shared" si="6"/>
        <v>0</v>
      </c>
      <c r="H24" s="477">
        <f t="shared" si="7"/>
        <v>0</v>
      </c>
      <c r="I24" s="500">
        <f t="shared" si="8"/>
        <v>0</v>
      </c>
      <c r="J24" s="500"/>
      <c r="K24" s="512"/>
      <c r="L24" s="504">
        <f t="shared" si="1"/>
        <v>0</v>
      </c>
      <c r="M24" s="512"/>
      <c r="N24" s="504">
        <f t="shared" si="2"/>
        <v>0</v>
      </c>
      <c r="O24" s="504">
        <f t="shared" si="3"/>
        <v>0</v>
      </c>
      <c r="P24" s="278"/>
      <c r="R24" s="243"/>
      <c r="S24" s="243"/>
      <c r="T24" s="243"/>
      <c r="U24" s="243"/>
    </row>
    <row r="25" spans="2:21">
      <c r="B25" s="145" t="str">
        <f t="shared" si="0"/>
        <v/>
      </c>
      <c r="C25" s="495">
        <f>IF(D$11="","-",+C24+1)</f>
        <v>2020</v>
      </c>
      <c r="D25" s="508"/>
      <c r="E25" s="509">
        <f t="shared" si="4"/>
        <v>0</v>
      </c>
      <c r="F25" s="510">
        <f t="shared" si="5"/>
        <v>0</v>
      </c>
      <c r="G25" s="511">
        <f t="shared" si="6"/>
        <v>0</v>
      </c>
      <c r="H25" s="477">
        <f t="shared" si="7"/>
        <v>0</v>
      </c>
      <c r="I25" s="500">
        <f t="shared" si="8"/>
        <v>0</v>
      </c>
      <c r="J25" s="500"/>
      <c r="K25" s="512"/>
      <c r="L25" s="504">
        <f t="shared" si="1"/>
        <v>0</v>
      </c>
      <c r="M25" s="512"/>
      <c r="N25" s="504">
        <f t="shared" si="2"/>
        <v>0</v>
      </c>
      <c r="O25" s="504">
        <f t="shared" si="3"/>
        <v>0</v>
      </c>
      <c r="P25" s="278"/>
      <c r="R25" s="243"/>
      <c r="S25" s="243"/>
      <c r="T25" s="243"/>
      <c r="U25" s="243"/>
    </row>
    <row r="26" spans="2:21">
      <c r="B26" s="145" t="str">
        <f t="shared" si="0"/>
        <v/>
      </c>
      <c r="C26" s="495">
        <f>IF(D$11="","-",+C25+1)</f>
        <v>2021</v>
      </c>
      <c r="D26" s="508"/>
      <c r="E26" s="509">
        <f t="shared" si="4"/>
        <v>0</v>
      </c>
      <c r="F26" s="510">
        <f t="shared" si="5"/>
        <v>0</v>
      </c>
      <c r="G26" s="511">
        <f t="shared" si="6"/>
        <v>0</v>
      </c>
      <c r="H26" s="477">
        <f t="shared" si="7"/>
        <v>0</v>
      </c>
      <c r="I26" s="500">
        <f t="shared" si="8"/>
        <v>0</v>
      </c>
      <c r="J26" s="500"/>
      <c r="K26" s="512"/>
      <c r="L26" s="504">
        <f t="shared" si="1"/>
        <v>0</v>
      </c>
      <c r="M26" s="512"/>
      <c r="N26" s="504">
        <f t="shared" si="2"/>
        <v>0</v>
      </c>
      <c r="O26" s="504">
        <f t="shared" si="3"/>
        <v>0</v>
      </c>
      <c r="P26" s="278"/>
      <c r="R26" s="243"/>
      <c r="S26" s="243"/>
      <c r="T26" s="243"/>
      <c r="U26" s="243"/>
    </row>
    <row r="27" spans="2:21">
      <c r="B27" s="145" t="str">
        <f t="shared" si="0"/>
        <v/>
      </c>
      <c r="C27" s="495">
        <f t="shared" ref="C27:C73" si="9">IF(D$11="","-",+C26+1)</f>
        <v>2022</v>
      </c>
      <c r="D27" s="508"/>
      <c r="E27" s="509">
        <f t="shared" si="4"/>
        <v>0</v>
      </c>
      <c r="F27" s="510">
        <f t="shared" si="5"/>
        <v>0</v>
      </c>
      <c r="G27" s="511">
        <f t="shared" si="6"/>
        <v>0</v>
      </c>
      <c r="H27" s="477">
        <f t="shared" si="7"/>
        <v>0</v>
      </c>
      <c r="I27" s="500">
        <f t="shared" si="8"/>
        <v>0</v>
      </c>
      <c r="J27" s="500"/>
      <c r="K27" s="512"/>
      <c r="L27" s="504">
        <f t="shared" si="1"/>
        <v>0</v>
      </c>
      <c r="M27" s="512"/>
      <c r="N27" s="504">
        <f t="shared" si="2"/>
        <v>0</v>
      </c>
      <c r="O27" s="504">
        <f t="shared" si="3"/>
        <v>0</v>
      </c>
      <c r="P27" s="278"/>
      <c r="R27" s="243"/>
      <c r="S27" s="243"/>
      <c r="T27" s="243"/>
      <c r="U27" s="243"/>
    </row>
    <row r="28" spans="2:21">
      <c r="B28" s="145" t="str">
        <f t="shared" si="0"/>
        <v/>
      </c>
      <c r="C28" s="495">
        <f t="shared" si="9"/>
        <v>2023</v>
      </c>
      <c r="D28" s="508"/>
      <c r="E28" s="509">
        <f t="shared" si="4"/>
        <v>0</v>
      </c>
      <c r="F28" s="510">
        <f t="shared" si="5"/>
        <v>0</v>
      </c>
      <c r="G28" s="511">
        <f t="shared" si="6"/>
        <v>0</v>
      </c>
      <c r="H28" s="477">
        <f t="shared" si="7"/>
        <v>0</v>
      </c>
      <c r="I28" s="500">
        <f t="shared" si="8"/>
        <v>0</v>
      </c>
      <c r="J28" s="500"/>
      <c r="K28" s="512"/>
      <c r="L28" s="504">
        <f t="shared" si="1"/>
        <v>0</v>
      </c>
      <c r="M28" s="512"/>
      <c r="N28" s="504">
        <f t="shared" si="2"/>
        <v>0</v>
      </c>
      <c r="O28" s="504">
        <f t="shared" si="3"/>
        <v>0</v>
      </c>
      <c r="P28" s="278"/>
      <c r="R28" s="243"/>
      <c r="S28" s="243"/>
      <c r="T28" s="243"/>
      <c r="U28" s="243"/>
    </row>
    <row r="29" spans="2:21">
      <c r="B29" s="145" t="str">
        <f t="shared" si="0"/>
        <v/>
      </c>
      <c r="C29" s="495">
        <f t="shared" si="9"/>
        <v>2024</v>
      </c>
      <c r="D29" s="508"/>
      <c r="E29" s="509">
        <f t="shared" si="4"/>
        <v>0</v>
      </c>
      <c r="F29" s="510">
        <f t="shared" si="5"/>
        <v>0</v>
      </c>
      <c r="G29" s="511">
        <f t="shared" si="6"/>
        <v>0</v>
      </c>
      <c r="H29" s="477">
        <f t="shared" si="7"/>
        <v>0</v>
      </c>
      <c r="I29" s="500">
        <f t="shared" si="8"/>
        <v>0</v>
      </c>
      <c r="J29" s="500"/>
      <c r="K29" s="512"/>
      <c r="L29" s="504">
        <f t="shared" si="1"/>
        <v>0</v>
      </c>
      <c r="M29" s="512"/>
      <c r="N29" s="504">
        <f t="shared" si="2"/>
        <v>0</v>
      </c>
      <c r="O29" s="504">
        <f t="shared" si="3"/>
        <v>0</v>
      </c>
      <c r="P29" s="278"/>
      <c r="R29" s="243"/>
      <c r="S29" s="243"/>
      <c r="T29" s="243"/>
      <c r="U29" s="243"/>
    </row>
    <row r="30" spans="2:21">
      <c r="B30" s="145" t="str">
        <f t="shared" si="0"/>
        <v/>
      </c>
      <c r="C30" s="495">
        <f t="shared" si="9"/>
        <v>2025</v>
      </c>
      <c r="D30" s="508"/>
      <c r="E30" s="509">
        <f t="shared" si="4"/>
        <v>0</v>
      </c>
      <c r="F30" s="510">
        <f t="shared" si="5"/>
        <v>0</v>
      </c>
      <c r="G30" s="511">
        <f t="shared" si="6"/>
        <v>0</v>
      </c>
      <c r="H30" s="477">
        <f t="shared" si="7"/>
        <v>0</v>
      </c>
      <c r="I30" s="500">
        <f t="shared" si="8"/>
        <v>0</v>
      </c>
      <c r="J30" s="500"/>
      <c r="K30" s="512"/>
      <c r="L30" s="504">
        <f t="shared" si="1"/>
        <v>0</v>
      </c>
      <c r="M30" s="512"/>
      <c r="N30" s="504">
        <f t="shared" si="2"/>
        <v>0</v>
      </c>
      <c r="O30" s="504">
        <f t="shared" si="3"/>
        <v>0</v>
      </c>
      <c r="P30" s="278"/>
      <c r="R30" s="243"/>
      <c r="S30" s="243"/>
      <c r="T30" s="243"/>
      <c r="U30" s="243"/>
    </row>
    <row r="31" spans="2:21">
      <c r="B31" s="145" t="str">
        <f t="shared" si="0"/>
        <v/>
      </c>
      <c r="C31" s="495">
        <f t="shared" si="9"/>
        <v>2026</v>
      </c>
      <c r="D31" s="508"/>
      <c r="E31" s="509">
        <f t="shared" si="4"/>
        <v>0</v>
      </c>
      <c r="F31" s="510">
        <f t="shared" si="5"/>
        <v>0</v>
      </c>
      <c r="G31" s="511">
        <f t="shared" si="6"/>
        <v>0</v>
      </c>
      <c r="H31" s="477">
        <f t="shared" si="7"/>
        <v>0</v>
      </c>
      <c r="I31" s="500">
        <f t="shared" si="8"/>
        <v>0</v>
      </c>
      <c r="J31" s="500"/>
      <c r="K31" s="512"/>
      <c r="L31" s="504">
        <f t="shared" si="1"/>
        <v>0</v>
      </c>
      <c r="M31" s="512"/>
      <c r="N31" s="504">
        <f t="shared" si="2"/>
        <v>0</v>
      </c>
      <c r="O31" s="504">
        <f t="shared" si="3"/>
        <v>0</v>
      </c>
      <c r="P31" s="278"/>
      <c r="Q31" s="220"/>
      <c r="R31" s="278"/>
      <c r="S31" s="278"/>
      <c r="T31" s="278"/>
      <c r="U31" s="243"/>
    </row>
    <row r="32" spans="2:21">
      <c r="B32" s="145" t="str">
        <f t="shared" si="0"/>
        <v/>
      </c>
      <c r="C32" s="495">
        <f t="shared" si="9"/>
        <v>2027</v>
      </c>
      <c r="D32" s="508"/>
      <c r="E32" s="509">
        <f t="shared" si="4"/>
        <v>0</v>
      </c>
      <c r="F32" s="510">
        <f>+D32-E32</f>
        <v>0</v>
      </c>
      <c r="G32" s="511">
        <f t="shared" si="6"/>
        <v>0</v>
      </c>
      <c r="H32" s="477">
        <f t="shared" si="7"/>
        <v>0</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 t="shared" si="9"/>
        <v>2028</v>
      </c>
      <c r="D33" s="508"/>
      <c r="E33" s="509">
        <f>IF(+I$14&lt;F31,I$14,D33)</f>
        <v>0</v>
      </c>
      <c r="F33" s="510">
        <f t="shared" si="5"/>
        <v>0</v>
      </c>
      <c r="G33" s="511">
        <f t="shared" si="6"/>
        <v>0</v>
      </c>
      <c r="H33" s="477">
        <f t="shared" si="7"/>
        <v>0</v>
      </c>
      <c r="I33" s="500">
        <f t="shared" si="8"/>
        <v>0</v>
      </c>
      <c r="J33" s="500"/>
      <c r="K33" s="512"/>
      <c r="L33" s="504">
        <f t="shared" si="1"/>
        <v>0</v>
      </c>
      <c r="M33" s="512"/>
      <c r="N33" s="504">
        <f t="shared" si="2"/>
        <v>0</v>
      </c>
      <c r="O33" s="504">
        <f t="shared" si="3"/>
        <v>0</v>
      </c>
      <c r="P33" s="278"/>
      <c r="R33" s="243"/>
      <c r="S33" s="243"/>
      <c r="T33" s="243"/>
      <c r="U33" s="243"/>
    </row>
    <row r="34" spans="2:21">
      <c r="B34" s="145" t="str">
        <f t="shared" si="0"/>
        <v/>
      </c>
      <c r="C34" s="495">
        <f t="shared" si="9"/>
        <v>2029</v>
      </c>
      <c r="D34" s="508"/>
      <c r="E34" s="509">
        <f t="shared" ref="E34:E73" si="10">IF(+I$14&lt;F33,I$14,D34)</f>
        <v>0</v>
      </c>
      <c r="F34" s="510">
        <f t="shared" si="5"/>
        <v>0</v>
      </c>
      <c r="G34" s="511">
        <f t="shared" si="6"/>
        <v>0</v>
      </c>
      <c r="H34" s="477">
        <f t="shared" si="7"/>
        <v>0</v>
      </c>
      <c r="I34" s="500">
        <f t="shared" si="8"/>
        <v>0</v>
      </c>
      <c r="J34" s="500"/>
      <c r="K34" s="512"/>
      <c r="L34" s="504">
        <f t="shared" si="1"/>
        <v>0</v>
      </c>
      <c r="M34" s="512"/>
      <c r="N34" s="504">
        <f t="shared" si="2"/>
        <v>0</v>
      </c>
      <c r="O34" s="504">
        <f t="shared" si="3"/>
        <v>0</v>
      </c>
      <c r="P34" s="522"/>
      <c r="Q34" s="216"/>
      <c r="R34" s="522"/>
      <c r="S34" s="522"/>
      <c r="T34" s="522"/>
      <c r="U34" s="243"/>
    </row>
    <row r="35" spans="2:21">
      <c r="B35" s="145" t="str">
        <f t="shared" si="0"/>
        <v/>
      </c>
      <c r="C35" s="495">
        <f t="shared" si="9"/>
        <v>2030</v>
      </c>
      <c r="D35" s="508"/>
      <c r="E35" s="509">
        <f t="shared" si="10"/>
        <v>0</v>
      </c>
      <c r="F35" s="510">
        <f t="shared" si="5"/>
        <v>0</v>
      </c>
      <c r="G35" s="511">
        <f t="shared" si="6"/>
        <v>0</v>
      </c>
      <c r="H35" s="477">
        <f t="shared" si="7"/>
        <v>0</v>
      </c>
      <c r="I35" s="500">
        <f t="shared" si="8"/>
        <v>0</v>
      </c>
      <c r="J35" s="500"/>
      <c r="K35" s="512"/>
      <c r="L35" s="504">
        <f t="shared" si="1"/>
        <v>0</v>
      </c>
      <c r="M35" s="512"/>
      <c r="N35" s="504">
        <f t="shared" si="2"/>
        <v>0</v>
      </c>
      <c r="O35" s="504">
        <f t="shared" si="3"/>
        <v>0</v>
      </c>
      <c r="P35" s="278"/>
      <c r="R35" s="243"/>
      <c r="S35" s="243"/>
      <c r="T35" s="243"/>
      <c r="U35" s="243"/>
    </row>
    <row r="36" spans="2:21">
      <c r="B36" s="145" t="str">
        <f t="shared" si="0"/>
        <v/>
      </c>
      <c r="C36" s="495">
        <f t="shared" si="9"/>
        <v>2031</v>
      </c>
      <c r="D36" s="508"/>
      <c r="E36" s="509">
        <f t="shared" si="10"/>
        <v>0</v>
      </c>
      <c r="F36" s="510">
        <f t="shared" si="5"/>
        <v>0</v>
      </c>
      <c r="G36" s="511">
        <f t="shared" si="6"/>
        <v>0</v>
      </c>
      <c r="H36" s="477">
        <f t="shared" si="7"/>
        <v>0</v>
      </c>
      <c r="I36" s="500">
        <f t="shared" si="8"/>
        <v>0</v>
      </c>
      <c r="J36" s="500"/>
      <c r="K36" s="512"/>
      <c r="L36" s="504">
        <f t="shared" si="1"/>
        <v>0</v>
      </c>
      <c r="M36" s="512"/>
      <c r="N36" s="504">
        <f t="shared" si="2"/>
        <v>0</v>
      </c>
      <c r="O36" s="504">
        <f t="shared" si="3"/>
        <v>0</v>
      </c>
      <c r="P36" s="278"/>
      <c r="R36" s="243"/>
      <c r="S36" s="243"/>
      <c r="T36" s="243"/>
      <c r="U36" s="243"/>
    </row>
    <row r="37" spans="2:21">
      <c r="B37" s="145" t="str">
        <f t="shared" si="0"/>
        <v/>
      </c>
      <c r="C37" s="495">
        <f t="shared" si="9"/>
        <v>2032</v>
      </c>
      <c r="D37" s="508"/>
      <c r="E37" s="509">
        <f t="shared" si="10"/>
        <v>0</v>
      </c>
      <c r="F37" s="510">
        <f t="shared" si="5"/>
        <v>0</v>
      </c>
      <c r="G37" s="511">
        <f t="shared" si="6"/>
        <v>0</v>
      </c>
      <c r="H37" s="477">
        <f t="shared" si="7"/>
        <v>0</v>
      </c>
      <c r="I37" s="500">
        <f t="shared" si="8"/>
        <v>0</v>
      </c>
      <c r="J37" s="500"/>
      <c r="K37" s="512"/>
      <c r="L37" s="504">
        <f t="shared" si="1"/>
        <v>0</v>
      </c>
      <c r="M37" s="512"/>
      <c r="N37" s="504">
        <f t="shared" si="2"/>
        <v>0</v>
      </c>
      <c r="O37" s="504">
        <f t="shared" si="3"/>
        <v>0</v>
      </c>
      <c r="P37" s="278"/>
      <c r="R37" s="243"/>
      <c r="S37" s="243"/>
      <c r="T37" s="243"/>
      <c r="U37" s="243"/>
    </row>
    <row r="38" spans="2:21">
      <c r="B38" s="145" t="str">
        <f t="shared" si="0"/>
        <v/>
      </c>
      <c r="C38" s="495">
        <f t="shared" si="9"/>
        <v>2033</v>
      </c>
      <c r="D38" s="508"/>
      <c r="E38" s="509">
        <f t="shared" si="10"/>
        <v>0</v>
      </c>
      <c r="F38" s="510">
        <f t="shared" si="5"/>
        <v>0</v>
      </c>
      <c r="G38" s="511">
        <f t="shared" si="6"/>
        <v>0</v>
      </c>
      <c r="H38" s="477">
        <f t="shared" si="7"/>
        <v>0</v>
      </c>
      <c r="I38" s="500">
        <f t="shared" si="8"/>
        <v>0</v>
      </c>
      <c r="J38" s="500"/>
      <c r="K38" s="512"/>
      <c r="L38" s="504">
        <f t="shared" si="1"/>
        <v>0</v>
      </c>
      <c r="M38" s="512"/>
      <c r="N38" s="504">
        <f t="shared" si="2"/>
        <v>0</v>
      </c>
      <c r="O38" s="504">
        <f t="shared" si="3"/>
        <v>0</v>
      </c>
      <c r="P38" s="278"/>
      <c r="R38" s="243"/>
      <c r="S38" s="243"/>
      <c r="T38" s="243"/>
      <c r="U38" s="243"/>
    </row>
    <row r="39" spans="2:21">
      <c r="B39" s="145" t="str">
        <f t="shared" si="0"/>
        <v/>
      </c>
      <c r="C39" s="495">
        <f t="shared" si="9"/>
        <v>2034</v>
      </c>
      <c r="D39" s="508"/>
      <c r="E39" s="509">
        <f t="shared" si="10"/>
        <v>0</v>
      </c>
      <c r="F39" s="510">
        <f t="shared" si="5"/>
        <v>0</v>
      </c>
      <c r="G39" s="511">
        <f t="shared" si="6"/>
        <v>0</v>
      </c>
      <c r="H39" s="477">
        <f t="shared" si="7"/>
        <v>0</v>
      </c>
      <c r="I39" s="500">
        <f t="shared" si="8"/>
        <v>0</v>
      </c>
      <c r="J39" s="500"/>
      <c r="K39" s="512"/>
      <c r="L39" s="504">
        <f t="shared" si="1"/>
        <v>0</v>
      </c>
      <c r="M39" s="512"/>
      <c r="N39" s="504">
        <f t="shared" si="2"/>
        <v>0</v>
      </c>
      <c r="O39" s="504">
        <f t="shared" si="3"/>
        <v>0</v>
      </c>
      <c r="P39" s="278"/>
      <c r="R39" s="243"/>
      <c r="S39" s="243"/>
      <c r="T39" s="243"/>
      <c r="U39" s="243"/>
    </row>
    <row r="40" spans="2:21">
      <c r="B40" s="145" t="str">
        <f t="shared" si="0"/>
        <v/>
      </c>
      <c r="C40" s="495">
        <f t="shared" si="9"/>
        <v>2035</v>
      </c>
      <c r="D40" s="508"/>
      <c r="E40" s="509">
        <f t="shared" si="10"/>
        <v>0</v>
      </c>
      <c r="F40" s="510">
        <f t="shared" si="5"/>
        <v>0</v>
      </c>
      <c r="G40" s="511">
        <f t="shared" si="6"/>
        <v>0</v>
      </c>
      <c r="H40" s="477">
        <f t="shared" si="7"/>
        <v>0</v>
      </c>
      <c r="I40" s="500">
        <f t="shared" si="8"/>
        <v>0</v>
      </c>
      <c r="J40" s="500"/>
      <c r="K40" s="512"/>
      <c r="L40" s="504">
        <f t="shared" si="1"/>
        <v>0</v>
      </c>
      <c r="M40" s="512"/>
      <c r="N40" s="504">
        <f t="shared" si="2"/>
        <v>0</v>
      </c>
      <c r="O40" s="504">
        <f t="shared" si="3"/>
        <v>0</v>
      </c>
      <c r="P40" s="278"/>
      <c r="R40" s="243"/>
      <c r="S40" s="243"/>
      <c r="T40" s="243"/>
      <c r="U40" s="243"/>
    </row>
    <row r="41" spans="2:21">
      <c r="B41" s="145" t="str">
        <f t="shared" si="0"/>
        <v/>
      </c>
      <c r="C41" s="495">
        <f t="shared" si="9"/>
        <v>2036</v>
      </c>
      <c r="D41" s="508"/>
      <c r="E41" s="509">
        <f t="shared" si="10"/>
        <v>0</v>
      </c>
      <c r="F41" s="510">
        <f t="shared" si="5"/>
        <v>0</v>
      </c>
      <c r="G41" s="511">
        <f t="shared" si="6"/>
        <v>0</v>
      </c>
      <c r="H41" s="477">
        <f t="shared" si="7"/>
        <v>0</v>
      </c>
      <c r="I41" s="500">
        <f t="shared" si="8"/>
        <v>0</v>
      </c>
      <c r="J41" s="500"/>
      <c r="K41" s="512"/>
      <c r="L41" s="504">
        <f t="shared" si="1"/>
        <v>0</v>
      </c>
      <c r="M41" s="512"/>
      <c r="N41" s="504">
        <f t="shared" si="2"/>
        <v>0</v>
      </c>
      <c r="O41" s="504">
        <f t="shared" si="3"/>
        <v>0</v>
      </c>
      <c r="P41" s="278"/>
      <c r="R41" s="243"/>
      <c r="S41" s="243"/>
      <c r="T41" s="243"/>
      <c r="U41" s="243"/>
    </row>
    <row r="42" spans="2:21">
      <c r="B42" s="145" t="str">
        <f t="shared" si="0"/>
        <v/>
      </c>
      <c r="C42" s="495">
        <f t="shared" si="9"/>
        <v>2037</v>
      </c>
      <c r="D42" s="508"/>
      <c r="E42" s="509">
        <f t="shared" si="10"/>
        <v>0</v>
      </c>
      <c r="F42" s="510">
        <f t="shared" si="5"/>
        <v>0</v>
      </c>
      <c r="G42" s="511">
        <f t="shared" si="6"/>
        <v>0</v>
      </c>
      <c r="H42" s="477">
        <f t="shared" si="7"/>
        <v>0</v>
      </c>
      <c r="I42" s="500">
        <f t="shared" si="8"/>
        <v>0</v>
      </c>
      <c r="J42" s="500"/>
      <c r="K42" s="512"/>
      <c r="L42" s="504">
        <f t="shared" si="1"/>
        <v>0</v>
      </c>
      <c r="M42" s="512"/>
      <c r="N42" s="504">
        <f t="shared" si="2"/>
        <v>0</v>
      </c>
      <c r="O42" s="504">
        <f t="shared" si="3"/>
        <v>0</v>
      </c>
      <c r="P42" s="278"/>
      <c r="R42" s="243"/>
      <c r="S42" s="243"/>
      <c r="T42" s="243"/>
      <c r="U42" s="243"/>
    </row>
    <row r="43" spans="2:21">
      <c r="B43" s="145" t="str">
        <f t="shared" si="0"/>
        <v/>
      </c>
      <c r="C43" s="495">
        <f t="shared" si="9"/>
        <v>2038</v>
      </c>
      <c r="D43" s="508"/>
      <c r="E43" s="509">
        <f t="shared" si="10"/>
        <v>0</v>
      </c>
      <c r="F43" s="510">
        <f t="shared" si="5"/>
        <v>0</v>
      </c>
      <c r="G43" s="511">
        <f t="shared" si="6"/>
        <v>0</v>
      </c>
      <c r="H43" s="477">
        <f t="shared" si="7"/>
        <v>0</v>
      </c>
      <c r="I43" s="500">
        <f t="shared" si="8"/>
        <v>0</v>
      </c>
      <c r="J43" s="500"/>
      <c r="K43" s="512"/>
      <c r="L43" s="504">
        <f t="shared" si="1"/>
        <v>0</v>
      </c>
      <c r="M43" s="512"/>
      <c r="N43" s="504">
        <f t="shared" si="2"/>
        <v>0</v>
      </c>
      <c r="O43" s="504">
        <f t="shared" si="3"/>
        <v>0</v>
      </c>
      <c r="P43" s="278"/>
      <c r="R43" s="243"/>
      <c r="S43" s="243"/>
      <c r="T43" s="243"/>
      <c r="U43" s="243"/>
    </row>
    <row r="44" spans="2:21">
      <c r="B44" s="145" t="str">
        <f t="shared" si="0"/>
        <v/>
      </c>
      <c r="C44" s="495">
        <f t="shared" si="9"/>
        <v>2039</v>
      </c>
      <c r="D44" s="508"/>
      <c r="E44" s="509">
        <f t="shared" si="10"/>
        <v>0</v>
      </c>
      <c r="F44" s="510">
        <f t="shared" si="5"/>
        <v>0</v>
      </c>
      <c r="G44" s="511">
        <f t="shared" si="6"/>
        <v>0</v>
      </c>
      <c r="H44" s="477">
        <f t="shared" si="7"/>
        <v>0</v>
      </c>
      <c r="I44" s="500">
        <f t="shared" si="8"/>
        <v>0</v>
      </c>
      <c r="J44" s="500"/>
      <c r="K44" s="512"/>
      <c r="L44" s="504">
        <f t="shared" si="1"/>
        <v>0</v>
      </c>
      <c r="M44" s="512"/>
      <c r="N44" s="504">
        <f t="shared" si="2"/>
        <v>0</v>
      </c>
      <c r="O44" s="504">
        <f t="shared" si="3"/>
        <v>0</v>
      </c>
      <c r="P44" s="278"/>
      <c r="R44" s="243"/>
      <c r="S44" s="243"/>
      <c r="T44" s="243"/>
      <c r="U44" s="243"/>
    </row>
    <row r="45" spans="2:21">
      <c r="B45" s="145" t="str">
        <f t="shared" si="0"/>
        <v/>
      </c>
      <c r="C45" s="495">
        <f t="shared" si="9"/>
        <v>2040</v>
      </c>
      <c r="D45" s="508"/>
      <c r="E45" s="509">
        <f t="shared" si="10"/>
        <v>0</v>
      </c>
      <c r="F45" s="510">
        <f t="shared" si="5"/>
        <v>0</v>
      </c>
      <c r="G45" s="511">
        <f t="shared" si="6"/>
        <v>0</v>
      </c>
      <c r="H45" s="477">
        <f t="shared" si="7"/>
        <v>0</v>
      </c>
      <c r="I45" s="500">
        <f t="shared" si="8"/>
        <v>0</v>
      </c>
      <c r="J45" s="500"/>
      <c r="K45" s="512"/>
      <c r="L45" s="504">
        <f t="shared" si="1"/>
        <v>0</v>
      </c>
      <c r="M45" s="512"/>
      <c r="N45" s="504">
        <f t="shared" si="2"/>
        <v>0</v>
      </c>
      <c r="O45" s="504">
        <f t="shared" si="3"/>
        <v>0</v>
      </c>
      <c r="P45" s="278"/>
      <c r="R45" s="243"/>
      <c r="S45" s="243"/>
      <c r="T45" s="243"/>
      <c r="U45" s="243"/>
    </row>
    <row r="46" spans="2:21">
      <c r="B46" s="145" t="str">
        <f t="shared" si="0"/>
        <v/>
      </c>
      <c r="C46" s="495">
        <f t="shared" si="9"/>
        <v>2041</v>
      </c>
      <c r="D46" s="508"/>
      <c r="E46" s="509">
        <f t="shared" si="10"/>
        <v>0</v>
      </c>
      <c r="F46" s="510">
        <f t="shared" si="5"/>
        <v>0</v>
      </c>
      <c r="G46" s="511">
        <f t="shared" si="6"/>
        <v>0</v>
      </c>
      <c r="H46" s="477">
        <f t="shared" si="7"/>
        <v>0</v>
      </c>
      <c r="I46" s="500">
        <f t="shared" si="8"/>
        <v>0</v>
      </c>
      <c r="J46" s="500"/>
      <c r="K46" s="512"/>
      <c r="L46" s="504">
        <f t="shared" si="1"/>
        <v>0</v>
      </c>
      <c r="M46" s="512"/>
      <c r="N46" s="504">
        <f t="shared" si="2"/>
        <v>0</v>
      </c>
      <c r="O46" s="504">
        <f t="shared" si="3"/>
        <v>0</v>
      </c>
      <c r="P46" s="278"/>
      <c r="R46" s="243"/>
      <c r="S46" s="243"/>
      <c r="T46" s="243"/>
      <c r="U46" s="243"/>
    </row>
    <row r="47" spans="2:21">
      <c r="B47" s="145" t="str">
        <f t="shared" si="0"/>
        <v/>
      </c>
      <c r="C47" s="495">
        <f t="shared" si="9"/>
        <v>2042</v>
      </c>
      <c r="D47" s="508"/>
      <c r="E47" s="509">
        <f t="shared" si="10"/>
        <v>0</v>
      </c>
      <c r="F47" s="510">
        <f t="shared" si="5"/>
        <v>0</v>
      </c>
      <c r="G47" s="511">
        <f t="shared" si="6"/>
        <v>0</v>
      </c>
      <c r="H47" s="477">
        <f t="shared" si="7"/>
        <v>0</v>
      </c>
      <c r="I47" s="500">
        <f t="shared" si="8"/>
        <v>0</v>
      </c>
      <c r="J47" s="500"/>
      <c r="K47" s="512"/>
      <c r="L47" s="504">
        <f t="shared" si="1"/>
        <v>0</v>
      </c>
      <c r="M47" s="512"/>
      <c r="N47" s="504">
        <f t="shared" si="2"/>
        <v>0</v>
      </c>
      <c r="O47" s="504">
        <f t="shared" si="3"/>
        <v>0</v>
      </c>
      <c r="P47" s="278"/>
      <c r="R47" s="243"/>
      <c r="S47" s="243"/>
      <c r="T47" s="243"/>
      <c r="U47" s="243"/>
    </row>
    <row r="48" spans="2:21">
      <c r="B48" s="145" t="str">
        <f t="shared" si="0"/>
        <v/>
      </c>
      <c r="C48" s="495">
        <f t="shared" si="9"/>
        <v>2043</v>
      </c>
      <c r="D48" s="508"/>
      <c r="E48" s="509">
        <f t="shared" si="10"/>
        <v>0</v>
      </c>
      <c r="F48" s="510">
        <f t="shared" si="5"/>
        <v>0</v>
      </c>
      <c r="G48" s="511">
        <f t="shared" si="6"/>
        <v>0</v>
      </c>
      <c r="H48" s="477">
        <f t="shared" si="7"/>
        <v>0</v>
      </c>
      <c r="I48" s="500">
        <f t="shared" si="8"/>
        <v>0</v>
      </c>
      <c r="J48" s="500"/>
      <c r="K48" s="512"/>
      <c r="L48" s="504">
        <f t="shared" si="1"/>
        <v>0</v>
      </c>
      <c r="M48" s="512"/>
      <c r="N48" s="504">
        <f t="shared" si="2"/>
        <v>0</v>
      </c>
      <c r="O48" s="504">
        <f t="shared" si="3"/>
        <v>0</v>
      </c>
      <c r="P48" s="278"/>
      <c r="R48" s="243"/>
      <c r="S48" s="243"/>
      <c r="T48" s="243"/>
      <c r="U48" s="243"/>
    </row>
    <row r="49" spans="2:21">
      <c r="B49" s="145" t="str">
        <f t="shared" si="0"/>
        <v/>
      </c>
      <c r="C49" s="495">
        <f t="shared" si="9"/>
        <v>2044</v>
      </c>
      <c r="D49" s="508"/>
      <c r="E49" s="509">
        <f t="shared" si="10"/>
        <v>0</v>
      </c>
      <c r="F49" s="510">
        <f t="shared" si="5"/>
        <v>0</v>
      </c>
      <c r="G49" s="511">
        <f t="shared" si="6"/>
        <v>0</v>
      </c>
      <c r="H49" s="477">
        <f t="shared" si="7"/>
        <v>0</v>
      </c>
      <c r="I49" s="500">
        <f t="shared" si="8"/>
        <v>0</v>
      </c>
      <c r="J49" s="500"/>
      <c r="K49" s="512"/>
      <c r="L49" s="504">
        <f t="shared" si="1"/>
        <v>0</v>
      </c>
      <c r="M49" s="512"/>
      <c r="N49" s="504">
        <f t="shared" si="2"/>
        <v>0</v>
      </c>
      <c r="O49" s="504">
        <f t="shared" si="3"/>
        <v>0</v>
      </c>
      <c r="P49" s="278"/>
      <c r="R49" s="243"/>
      <c r="S49" s="243"/>
      <c r="T49" s="243"/>
      <c r="U49" s="243"/>
    </row>
    <row r="50" spans="2:21">
      <c r="B50" s="145" t="str">
        <f t="shared" ref="B50:B73" si="11">IF(D50=F49,"","IU")</f>
        <v/>
      </c>
      <c r="C50" s="495">
        <f t="shared" si="9"/>
        <v>2045</v>
      </c>
      <c r="D50" s="508"/>
      <c r="E50" s="509">
        <f t="shared" si="10"/>
        <v>0</v>
      </c>
      <c r="F50" s="510">
        <f t="shared" ref="F50:F73" si="12">+D50-E50</f>
        <v>0</v>
      </c>
      <c r="G50" s="511">
        <f t="shared" si="6"/>
        <v>0</v>
      </c>
      <c r="H50" s="477">
        <f t="shared" si="7"/>
        <v>0</v>
      </c>
      <c r="I50" s="500">
        <f t="shared" ref="I50:I73" si="13">H50-G50</f>
        <v>0</v>
      </c>
      <c r="J50" s="500"/>
      <c r="K50" s="512"/>
      <c r="L50" s="504">
        <f t="shared" ref="L50:L73" si="14">IF(K50&lt;&gt;0,+G50-K50,0)</f>
        <v>0</v>
      </c>
      <c r="M50" s="512"/>
      <c r="N50" s="504">
        <f t="shared" ref="N50:N73" si="15">IF(M50&lt;&gt;0,+H50-M50,0)</f>
        <v>0</v>
      </c>
      <c r="O50" s="504">
        <f t="shared" ref="O50:O73" si="16">+N50-L50</f>
        <v>0</v>
      </c>
      <c r="P50" s="278"/>
      <c r="R50" s="243"/>
      <c r="S50" s="243"/>
      <c r="T50" s="243"/>
      <c r="U50" s="243"/>
    </row>
    <row r="51" spans="2:21">
      <c r="B51" s="145" t="str">
        <f t="shared" si="11"/>
        <v/>
      </c>
      <c r="C51" s="495">
        <f t="shared" si="9"/>
        <v>2046</v>
      </c>
      <c r="D51" s="508"/>
      <c r="E51" s="509">
        <f t="shared" si="10"/>
        <v>0</v>
      </c>
      <c r="F51" s="510">
        <f t="shared" si="12"/>
        <v>0</v>
      </c>
      <c r="G51" s="511">
        <f t="shared" si="6"/>
        <v>0</v>
      </c>
      <c r="H51" s="477">
        <f t="shared" si="7"/>
        <v>0</v>
      </c>
      <c r="I51" s="500">
        <f t="shared" si="13"/>
        <v>0</v>
      </c>
      <c r="J51" s="500"/>
      <c r="K51" s="512"/>
      <c r="L51" s="504">
        <f t="shared" si="14"/>
        <v>0</v>
      </c>
      <c r="M51" s="512"/>
      <c r="N51" s="504">
        <f t="shared" si="15"/>
        <v>0</v>
      </c>
      <c r="O51" s="504">
        <f t="shared" si="16"/>
        <v>0</v>
      </c>
      <c r="P51" s="278"/>
      <c r="R51" s="243"/>
      <c r="S51" s="243"/>
      <c r="T51" s="243"/>
      <c r="U51" s="243"/>
    </row>
    <row r="52" spans="2:21">
      <c r="B52" s="145" t="str">
        <f t="shared" si="11"/>
        <v/>
      </c>
      <c r="C52" s="495">
        <f t="shared" si="9"/>
        <v>2047</v>
      </c>
      <c r="D52" s="508"/>
      <c r="E52" s="509">
        <f t="shared" si="10"/>
        <v>0</v>
      </c>
      <c r="F52" s="510">
        <f t="shared" si="12"/>
        <v>0</v>
      </c>
      <c r="G52" s="511">
        <f t="shared" si="6"/>
        <v>0</v>
      </c>
      <c r="H52" s="477">
        <f t="shared" si="7"/>
        <v>0</v>
      </c>
      <c r="I52" s="500">
        <f t="shared" si="13"/>
        <v>0</v>
      </c>
      <c r="J52" s="500"/>
      <c r="K52" s="512"/>
      <c r="L52" s="504">
        <f t="shared" si="14"/>
        <v>0</v>
      </c>
      <c r="M52" s="512"/>
      <c r="N52" s="504">
        <f t="shared" si="15"/>
        <v>0</v>
      </c>
      <c r="O52" s="504">
        <f t="shared" si="16"/>
        <v>0</v>
      </c>
      <c r="P52" s="278"/>
      <c r="R52" s="243"/>
      <c r="S52" s="243"/>
      <c r="T52" s="243"/>
      <c r="U52" s="243"/>
    </row>
    <row r="53" spans="2:21">
      <c r="B53" s="145" t="str">
        <f t="shared" si="11"/>
        <v/>
      </c>
      <c r="C53" s="495">
        <f t="shared" si="9"/>
        <v>2048</v>
      </c>
      <c r="D53" s="508"/>
      <c r="E53" s="509">
        <f t="shared" si="10"/>
        <v>0</v>
      </c>
      <c r="F53" s="510">
        <f t="shared" si="12"/>
        <v>0</v>
      </c>
      <c r="G53" s="511">
        <f t="shared" si="6"/>
        <v>0</v>
      </c>
      <c r="H53" s="477">
        <f t="shared" si="7"/>
        <v>0</v>
      </c>
      <c r="I53" s="500">
        <f t="shared" si="13"/>
        <v>0</v>
      </c>
      <c r="J53" s="500"/>
      <c r="K53" s="512"/>
      <c r="L53" s="504">
        <f t="shared" si="14"/>
        <v>0</v>
      </c>
      <c r="M53" s="512"/>
      <c r="N53" s="504">
        <f t="shared" si="15"/>
        <v>0</v>
      </c>
      <c r="O53" s="504">
        <f t="shared" si="16"/>
        <v>0</v>
      </c>
      <c r="P53" s="278"/>
      <c r="R53" s="243"/>
      <c r="S53" s="243"/>
      <c r="T53" s="243"/>
      <c r="U53" s="243"/>
    </row>
    <row r="54" spans="2:21">
      <c r="B54" s="145" t="str">
        <f t="shared" si="11"/>
        <v/>
      </c>
      <c r="C54" s="495">
        <f t="shared" si="9"/>
        <v>2049</v>
      </c>
      <c r="D54" s="508"/>
      <c r="E54" s="509">
        <f t="shared" si="10"/>
        <v>0</v>
      </c>
      <c r="F54" s="510">
        <f t="shared" si="12"/>
        <v>0</v>
      </c>
      <c r="G54" s="511">
        <f t="shared" si="6"/>
        <v>0</v>
      </c>
      <c r="H54" s="477">
        <f t="shared" si="7"/>
        <v>0</v>
      </c>
      <c r="I54" s="500">
        <f t="shared" si="13"/>
        <v>0</v>
      </c>
      <c r="J54" s="500"/>
      <c r="K54" s="512"/>
      <c r="L54" s="504">
        <f t="shared" si="14"/>
        <v>0</v>
      </c>
      <c r="M54" s="512"/>
      <c r="N54" s="504">
        <f t="shared" si="15"/>
        <v>0</v>
      </c>
      <c r="O54" s="504">
        <f t="shared" si="16"/>
        <v>0</v>
      </c>
      <c r="P54" s="278"/>
      <c r="R54" s="243"/>
      <c r="S54" s="243"/>
      <c r="T54" s="243"/>
      <c r="U54" s="243"/>
    </row>
    <row r="55" spans="2:21">
      <c r="B55" s="145" t="str">
        <f t="shared" si="11"/>
        <v/>
      </c>
      <c r="C55" s="495">
        <f t="shared" si="9"/>
        <v>2050</v>
      </c>
      <c r="D55" s="508"/>
      <c r="E55" s="509">
        <f t="shared" si="10"/>
        <v>0</v>
      </c>
      <c r="F55" s="510">
        <f t="shared" si="12"/>
        <v>0</v>
      </c>
      <c r="G55" s="511">
        <f t="shared" si="6"/>
        <v>0</v>
      </c>
      <c r="H55" s="477">
        <f t="shared" si="7"/>
        <v>0</v>
      </c>
      <c r="I55" s="500">
        <f t="shared" si="13"/>
        <v>0</v>
      </c>
      <c r="J55" s="500"/>
      <c r="K55" s="512"/>
      <c r="L55" s="504">
        <f t="shared" si="14"/>
        <v>0</v>
      </c>
      <c r="M55" s="512"/>
      <c r="N55" s="504">
        <f t="shared" si="15"/>
        <v>0</v>
      </c>
      <c r="O55" s="504">
        <f t="shared" si="16"/>
        <v>0</v>
      </c>
      <c r="P55" s="278"/>
      <c r="R55" s="243"/>
      <c r="S55" s="243"/>
      <c r="T55" s="243"/>
      <c r="U55" s="243"/>
    </row>
    <row r="56" spans="2:21">
      <c r="B56" s="145" t="str">
        <f t="shared" si="11"/>
        <v/>
      </c>
      <c r="C56" s="495">
        <f t="shared" si="9"/>
        <v>2051</v>
      </c>
      <c r="D56" s="508"/>
      <c r="E56" s="509">
        <f t="shared" si="10"/>
        <v>0</v>
      </c>
      <c r="F56" s="510">
        <f t="shared" si="12"/>
        <v>0</v>
      </c>
      <c r="G56" s="511">
        <f t="shared" si="6"/>
        <v>0</v>
      </c>
      <c r="H56" s="477">
        <f t="shared" si="7"/>
        <v>0</v>
      </c>
      <c r="I56" s="500">
        <f t="shared" si="13"/>
        <v>0</v>
      </c>
      <c r="J56" s="500"/>
      <c r="K56" s="512"/>
      <c r="L56" s="504">
        <f t="shared" si="14"/>
        <v>0</v>
      </c>
      <c r="M56" s="512"/>
      <c r="N56" s="504">
        <f t="shared" si="15"/>
        <v>0</v>
      </c>
      <c r="O56" s="504">
        <f t="shared" si="16"/>
        <v>0</v>
      </c>
      <c r="P56" s="278"/>
      <c r="R56" s="243"/>
      <c r="S56" s="243"/>
      <c r="T56" s="243"/>
      <c r="U56" s="243"/>
    </row>
    <row r="57" spans="2:21">
      <c r="B57" s="145" t="str">
        <f t="shared" si="11"/>
        <v/>
      </c>
      <c r="C57" s="495">
        <f t="shared" si="9"/>
        <v>2052</v>
      </c>
      <c r="D57" s="508"/>
      <c r="E57" s="509">
        <f t="shared" si="10"/>
        <v>0</v>
      </c>
      <c r="F57" s="510">
        <f t="shared" si="12"/>
        <v>0</v>
      </c>
      <c r="G57" s="511">
        <f t="shared" si="6"/>
        <v>0</v>
      </c>
      <c r="H57" s="477">
        <f t="shared" si="7"/>
        <v>0</v>
      </c>
      <c r="I57" s="500">
        <f t="shared" si="13"/>
        <v>0</v>
      </c>
      <c r="J57" s="500"/>
      <c r="K57" s="512"/>
      <c r="L57" s="504">
        <f t="shared" si="14"/>
        <v>0</v>
      </c>
      <c r="M57" s="512"/>
      <c r="N57" s="504">
        <f t="shared" si="15"/>
        <v>0</v>
      </c>
      <c r="O57" s="504">
        <f t="shared" si="16"/>
        <v>0</v>
      </c>
      <c r="P57" s="278"/>
      <c r="R57" s="243"/>
      <c r="S57" s="243"/>
      <c r="T57" s="243"/>
      <c r="U57" s="243"/>
    </row>
    <row r="58" spans="2:21">
      <c r="B58" s="145" t="str">
        <f t="shared" si="11"/>
        <v/>
      </c>
      <c r="C58" s="495">
        <f t="shared" si="9"/>
        <v>2053</v>
      </c>
      <c r="D58" s="508"/>
      <c r="E58" s="509">
        <f t="shared" si="10"/>
        <v>0</v>
      </c>
      <c r="F58" s="510">
        <f t="shared" si="12"/>
        <v>0</v>
      </c>
      <c r="G58" s="511">
        <f t="shared" si="6"/>
        <v>0</v>
      </c>
      <c r="H58" s="477">
        <f t="shared" si="7"/>
        <v>0</v>
      </c>
      <c r="I58" s="500">
        <f t="shared" si="13"/>
        <v>0</v>
      </c>
      <c r="J58" s="500"/>
      <c r="K58" s="512"/>
      <c r="L58" s="504">
        <f t="shared" si="14"/>
        <v>0</v>
      </c>
      <c r="M58" s="512"/>
      <c r="N58" s="504">
        <f t="shared" si="15"/>
        <v>0</v>
      </c>
      <c r="O58" s="504">
        <f t="shared" si="16"/>
        <v>0</v>
      </c>
      <c r="P58" s="278"/>
      <c r="R58" s="243"/>
      <c r="S58" s="243"/>
      <c r="T58" s="243"/>
      <c r="U58" s="243"/>
    </row>
    <row r="59" spans="2:21">
      <c r="B59" s="145" t="str">
        <f t="shared" si="11"/>
        <v/>
      </c>
      <c r="C59" s="495">
        <f t="shared" si="9"/>
        <v>2054</v>
      </c>
      <c r="D59" s="508"/>
      <c r="E59" s="509">
        <f t="shared" si="10"/>
        <v>0</v>
      </c>
      <c r="F59" s="510">
        <f t="shared" si="12"/>
        <v>0</v>
      </c>
      <c r="G59" s="511">
        <f t="shared" si="6"/>
        <v>0</v>
      </c>
      <c r="H59" s="477">
        <f t="shared" si="7"/>
        <v>0</v>
      </c>
      <c r="I59" s="500">
        <f t="shared" si="13"/>
        <v>0</v>
      </c>
      <c r="J59" s="500"/>
      <c r="K59" s="512"/>
      <c r="L59" s="504">
        <f t="shared" si="14"/>
        <v>0</v>
      </c>
      <c r="M59" s="512"/>
      <c r="N59" s="504">
        <f t="shared" si="15"/>
        <v>0</v>
      </c>
      <c r="O59" s="504">
        <f t="shared" si="16"/>
        <v>0</v>
      </c>
      <c r="P59" s="278"/>
      <c r="R59" s="243"/>
      <c r="S59" s="243"/>
      <c r="T59" s="243"/>
      <c r="U59" s="243"/>
    </row>
    <row r="60" spans="2:21">
      <c r="B60" s="145" t="str">
        <f t="shared" si="11"/>
        <v/>
      </c>
      <c r="C60" s="495">
        <f t="shared" si="9"/>
        <v>2055</v>
      </c>
      <c r="D60" s="508"/>
      <c r="E60" s="509">
        <f t="shared" si="10"/>
        <v>0</v>
      </c>
      <c r="F60" s="510">
        <f t="shared" si="12"/>
        <v>0</v>
      </c>
      <c r="G60" s="511">
        <f t="shared" si="6"/>
        <v>0</v>
      </c>
      <c r="H60" s="477">
        <f t="shared" si="7"/>
        <v>0</v>
      </c>
      <c r="I60" s="500">
        <f t="shared" si="13"/>
        <v>0</v>
      </c>
      <c r="J60" s="500"/>
      <c r="K60" s="512"/>
      <c r="L60" s="504">
        <f t="shared" si="14"/>
        <v>0</v>
      </c>
      <c r="M60" s="512"/>
      <c r="N60" s="504">
        <f t="shared" si="15"/>
        <v>0</v>
      </c>
      <c r="O60" s="504">
        <f t="shared" si="16"/>
        <v>0</v>
      </c>
      <c r="P60" s="278"/>
      <c r="R60" s="243"/>
      <c r="S60" s="243"/>
      <c r="T60" s="243"/>
      <c r="U60" s="243"/>
    </row>
    <row r="61" spans="2:21">
      <c r="B61" s="145" t="str">
        <f t="shared" si="11"/>
        <v/>
      </c>
      <c r="C61" s="495">
        <f t="shared" si="9"/>
        <v>2056</v>
      </c>
      <c r="D61" s="508"/>
      <c r="E61" s="509">
        <f t="shared" si="10"/>
        <v>0</v>
      </c>
      <c r="F61" s="510">
        <f t="shared" si="12"/>
        <v>0</v>
      </c>
      <c r="G61" s="511">
        <f t="shared" si="6"/>
        <v>0</v>
      </c>
      <c r="H61" s="477">
        <f t="shared" si="7"/>
        <v>0</v>
      </c>
      <c r="I61" s="500">
        <f t="shared" si="13"/>
        <v>0</v>
      </c>
      <c r="J61" s="500"/>
      <c r="K61" s="512"/>
      <c r="L61" s="504">
        <f t="shared" si="14"/>
        <v>0</v>
      </c>
      <c r="M61" s="512"/>
      <c r="N61" s="504">
        <f t="shared" si="15"/>
        <v>0</v>
      </c>
      <c r="O61" s="504">
        <f t="shared" si="16"/>
        <v>0</v>
      </c>
      <c r="P61" s="278"/>
      <c r="R61" s="243"/>
      <c r="S61" s="243"/>
      <c r="T61" s="243"/>
      <c r="U61" s="243"/>
    </row>
    <row r="62" spans="2:21">
      <c r="B62" s="145" t="str">
        <f t="shared" si="11"/>
        <v/>
      </c>
      <c r="C62" s="495">
        <f t="shared" si="9"/>
        <v>2057</v>
      </c>
      <c r="D62" s="508"/>
      <c r="E62" s="509">
        <f t="shared" si="10"/>
        <v>0</v>
      </c>
      <c r="F62" s="510">
        <f t="shared" si="12"/>
        <v>0</v>
      </c>
      <c r="G62" s="523">
        <f t="shared" si="6"/>
        <v>0</v>
      </c>
      <c r="H62" s="477">
        <f t="shared" si="7"/>
        <v>0</v>
      </c>
      <c r="I62" s="500">
        <f t="shared" si="13"/>
        <v>0</v>
      </c>
      <c r="J62" s="500"/>
      <c r="K62" s="512"/>
      <c r="L62" s="504">
        <f t="shared" si="14"/>
        <v>0</v>
      </c>
      <c r="M62" s="512"/>
      <c r="N62" s="504">
        <f t="shared" si="15"/>
        <v>0</v>
      </c>
      <c r="O62" s="504">
        <f t="shared" si="16"/>
        <v>0</v>
      </c>
      <c r="P62" s="278"/>
      <c r="R62" s="243"/>
      <c r="S62" s="243"/>
      <c r="T62" s="243"/>
      <c r="U62" s="243"/>
    </row>
    <row r="63" spans="2:21">
      <c r="B63" s="145" t="str">
        <f t="shared" si="11"/>
        <v/>
      </c>
      <c r="C63" s="495">
        <f t="shared" si="9"/>
        <v>2058</v>
      </c>
      <c r="D63" s="508"/>
      <c r="E63" s="509">
        <f t="shared" si="10"/>
        <v>0</v>
      </c>
      <c r="F63" s="510">
        <f t="shared" si="12"/>
        <v>0</v>
      </c>
      <c r="G63" s="523">
        <f t="shared" si="6"/>
        <v>0</v>
      </c>
      <c r="H63" s="477">
        <f t="shared" si="7"/>
        <v>0</v>
      </c>
      <c r="I63" s="500">
        <f t="shared" si="13"/>
        <v>0</v>
      </c>
      <c r="J63" s="500"/>
      <c r="K63" s="512"/>
      <c r="L63" s="504">
        <f t="shared" si="14"/>
        <v>0</v>
      </c>
      <c r="M63" s="512"/>
      <c r="N63" s="504">
        <f t="shared" si="15"/>
        <v>0</v>
      </c>
      <c r="O63" s="504">
        <f t="shared" si="16"/>
        <v>0</v>
      </c>
      <c r="P63" s="278"/>
      <c r="R63" s="243"/>
      <c r="S63" s="243"/>
      <c r="T63" s="243"/>
      <c r="U63" s="243"/>
    </row>
    <row r="64" spans="2:21">
      <c r="B64" s="145" t="str">
        <f t="shared" si="11"/>
        <v/>
      </c>
      <c r="C64" s="495">
        <f t="shared" si="9"/>
        <v>2059</v>
      </c>
      <c r="D64" s="508"/>
      <c r="E64" s="509">
        <f t="shared" si="10"/>
        <v>0</v>
      </c>
      <c r="F64" s="510">
        <f t="shared" si="12"/>
        <v>0</v>
      </c>
      <c r="G64" s="523">
        <f t="shared" si="6"/>
        <v>0</v>
      </c>
      <c r="H64" s="477">
        <f t="shared" si="7"/>
        <v>0</v>
      </c>
      <c r="I64" s="500">
        <f t="shared" si="13"/>
        <v>0</v>
      </c>
      <c r="J64" s="500"/>
      <c r="K64" s="512"/>
      <c r="L64" s="504">
        <f t="shared" si="14"/>
        <v>0</v>
      </c>
      <c r="M64" s="512"/>
      <c r="N64" s="504">
        <f t="shared" si="15"/>
        <v>0</v>
      </c>
      <c r="O64" s="504">
        <f t="shared" si="16"/>
        <v>0</v>
      </c>
      <c r="P64" s="278"/>
      <c r="R64" s="243"/>
      <c r="S64" s="243"/>
      <c r="T64" s="243"/>
      <c r="U64" s="243"/>
    </row>
    <row r="65" spans="2:21">
      <c r="B65" s="145" t="str">
        <f t="shared" si="11"/>
        <v/>
      </c>
      <c r="C65" s="495">
        <f t="shared" si="9"/>
        <v>2060</v>
      </c>
      <c r="D65" s="508"/>
      <c r="E65" s="509">
        <f t="shared" si="10"/>
        <v>0</v>
      </c>
      <c r="F65" s="510">
        <f t="shared" si="12"/>
        <v>0</v>
      </c>
      <c r="G65" s="523">
        <f t="shared" si="6"/>
        <v>0</v>
      </c>
      <c r="H65" s="477">
        <f t="shared" si="7"/>
        <v>0</v>
      </c>
      <c r="I65" s="500">
        <f t="shared" si="13"/>
        <v>0</v>
      </c>
      <c r="J65" s="500"/>
      <c r="K65" s="512"/>
      <c r="L65" s="504">
        <f t="shared" si="14"/>
        <v>0</v>
      </c>
      <c r="M65" s="512"/>
      <c r="N65" s="504">
        <f t="shared" si="15"/>
        <v>0</v>
      </c>
      <c r="O65" s="504">
        <f t="shared" si="16"/>
        <v>0</v>
      </c>
      <c r="P65" s="278"/>
      <c r="R65" s="243"/>
      <c r="S65" s="243"/>
      <c r="T65" s="243"/>
      <c r="U65" s="243"/>
    </row>
    <row r="66" spans="2:21">
      <c r="B66" s="145" t="str">
        <f t="shared" si="11"/>
        <v/>
      </c>
      <c r="C66" s="495">
        <f t="shared" si="9"/>
        <v>2061</v>
      </c>
      <c r="D66" s="508"/>
      <c r="E66" s="509">
        <f t="shared" si="10"/>
        <v>0</v>
      </c>
      <c r="F66" s="510">
        <f t="shared" si="12"/>
        <v>0</v>
      </c>
      <c r="G66" s="523">
        <f t="shared" si="6"/>
        <v>0</v>
      </c>
      <c r="H66" s="477">
        <f t="shared" si="7"/>
        <v>0</v>
      </c>
      <c r="I66" s="500">
        <f t="shared" si="13"/>
        <v>0</v>
      </c>
      <c r="J66" s="500"/>
      <c r="K66" s="512"/>
      <c r="L66" s="504">
        <f t="shared" si="14"/>
        <v>0</v>
      </c>
      <c r="M66" s="512"/>
      <c r="N66" s="504">
        <f t="shared" si="15"/>
        <v>0</v>
      </c>
      <c r="O66" s="504">
        <f t="shared" si="16"/>
        <v>0</v>
      </c>
      <c r="P66" s="278"/>
      <c r="R66" s="243"/>
      <c r="S66" s="243"/>
      <c r="T66" s="243"/>
      <c r="U66" s="243"/>
    </row>
    <row r="67" spans="2:21">
      <c r="B67" s="145" t="str">
        <f t="shared" si="11"/>
        <v/>
      </c>
      <c r="C67" s="495">
        <f t="shared" si="9"/>
        <v>2062</v>
      </c>
      <c r="D67" s="508"/>
      <c r="E67" s="509">
        <f t="shared" si="10"/>
        <v>0</v>
      </c>
      <c r="F67" s="510">
        <f t="shared" si="12"/>
        <v>0</v>
      </c>
      <c r="G67" s="523">
        <f t="shared" si="6"/>
        <v>0</v>
      </c>
      <c r="H67" s="477">
        <f t="shared" si="7"/>
        <v>0</v>
      </c>
      <c r="I67" s="500">
        <f t="shared" si="13"/>
        <v>0</v>
      </c>
      <c r="J67" s="500"/>
      <c r="K67" s="512"/>
      <c r="L67" s="504">
        <f t="shared" si="14"/>
        <v>0</v>
      </c>
      <c r="M67" s="512"/>
      <c r="N67" s="504">
        <f t="shared" si="15"/>
        <v>0</v>
      </c>
      <c r="O67" s="504">
        <f t="shared" si="16"/>
        <v>0</v>
      </c>
      <c r="P67" s="278"/>
      <c r="R67" s="243"/>
      <c r="S67" s="243"/>
      <c r="T67" s="243"/>
      <c r="U67" s="243"/>
    </row>
    <row r="68" spans="2:21">
      <c r="B68" s="145" t="str">
        <f t="shared" si="11"/>
        <v/>
      </c>
      <c r="C68" s="495">
        <f t="shared" si="9"/>
        <v>2063</v>
      </c>
      <c r="D68" s="508"/>
      <c r="E68" s="509">
        <f t="shared" si="10"/>
        <v>0</v>
      </c>
      <c r="F68" s="510">
        <f t="shared" si="12"/>
        <v>0</v>
      </c>
      <c r="G68" s="523">
        <f t="shared" si="6"/>
        <v>0</v>
      </c>
      <c r="H68" s="477">
        <f t="shared" si="7"/>
        <v>0</v>
      </c>
      <c r="I68" s="500">
        <f t="shared" si="13"/>
        <v>0</v>
      </c>
      <c r="J68" s="500"/>
      <c r="K68" s="512"/>
      <c r="L68" s="504">
        <f t="shared" si="14"/>
        <v>0</v>
      </c>
      <c r="M68" s="512"/>
      <c r="N68" s="504">
        <f t="shared" si="15"/>
        <v>0</v>
      </c>
      <c r="O68" s="504">
        <f t="shared" si="16"/>
        <v>0</v>
      </c>
      <c r="P68" s="278"/>
      <c r="R68" s="243"/>
      <c r="S68" s="243"/>
      <c r="T68" s="243"/>
      <c r="U68" s="243"/>
    </row>
    <row r="69" spans="2:21">
      <c r="B69" s="145" t="str">
        <f t="shared" si="11"/>
        <v/>
      </c>
      <c r="C69" s="495">
        <f t="shared" si="9"/>
        <v>2064</v>
      </c>
      <c r="D69" s="508"/>
      <c r="E69" s="509">
        <f t="shared" si="10"/>
        <v>0</v>
      </c>
      <c r="F69" s="510">
        <f t="shared" si="12"/>
        <v>0</v>
      </c>
      <c r="G69" s="523">
        <f t="shared" si="6"/>
        <v>0</v>
      </c>
      <c r="H69" s="477">
        <f t="shared" si="7"/>
        <v>0</v>
      </c>
      <c r="I69" s="500">
        <f t="shared" si="13"/>
        <v>0</v>
      </c>
      <c r="J69" s="500"/>
      <c r="K69" s="512"/>
      <c r="L69" s="504">
        <f t="shared" si="14"/>
        <v>0</v>
      </c>
      <c r="M69" s="512"/>
      <c r="N69" s="504">
        <f t="shared" si="15"/>
        <v>0</v>
      </c>
      <c r="O69" s="504">
        <f t="shared" si="16"/>
        <v>0</v>
      </c>
      <c r="P69" s="278"/>
      <c r="R69" s="243"/>
      <c r="S69" s="243"/>
      <c r="T69" s="243"/>
      <c r="U69" s="243"/>
    </row>
    <row r="70" spans="2:21">
      <c r="B70" s="145" t="str">
        <f t="shared" si="11"/>
        <v/>
      </c>
      <c r="C70" s="495">
        <f t="shared" si="9"/>
        <v>2065</v>
      </c>
      <c r="D70" s="508"/>
      <c r="E70" s="509">
        <f t="shared" si="10"/>
        <v>0</v>
      </c>
      <c r="F70" s="510">
        <f t="shared" si="12"/>
        <v>0</v>
      </c>
      <c r="G70" s="523">
        <f t="shared" si="6"/>
        <v>0</v>
      </c>
      <c r="H70" s="477">
        <f t="shared" si="7"/>
        <v>0</v>
      </c>
      <c r="I70" s="500">
        <f t="shared" si="13"/>
        <v>0</v>
      </c>
      <c r="J70" s="500"/>
      <c r="K70" s="512"/>
      <c r="L70" s="504">
        <f t="shared" si="14"/>
        <v>0</v>
      </c>
      <c r="M70" s="512"/>
      <c r="N70" s="504">
        <f t="shared" si="15"/>
        <v>0</v>
      </c>
      <c r="O70" s="504">
        <f t="shared" si="16"/>
        <v>0</v>
      </c>
      <c r="P70" s="278"/>
      <c r="R70" s="243"/>
      <c r="S70" s="243"/>
      <c r="T70" s="243"/>
      <c r="U70" s="243"/>
    </row>
    <row r="71" spans="2:21">
      <c r="B71" s="145" t="str">
        <f t="shared" si="11"/>
        <v/>
      </c>
      <c r="C71" s="495">
        <f t="shared" si="9"/>
        <v>2066</v>
      </c>
      <c r="D71" s="508"/>
      <c r="E71" s="509">
        <f t="shared" si="10"/>
        <v>0</v>
      </c>
      <c r="F71" s="510">
        <f t="shared" si="12"/>
        <v>0</v>
      </c>
      <c r="G71" s="523">
        <f t="shared" si="6"/>
        <v>0</v>
      </c>
      <c r="H71" s="477">
        <f t="shared" si="7"/>
        <v>0</v>
      </c>
      <c r="I71" s="500">
        <f t="shared" si="13"/>
        <v>0</v>
      </c>
      <c r="J71" s="500"/>
      <c r="K71" s="512"/>
      <c r="L71" s="504">
        <f t="shared" si="14"/>
        <v>0</v>
      </c>
      <c r="M71" s="512"/>
      <c r="N71" s="504">
        <f t="shared" si="15"/>
        <v>0</v>
      </c>
      <c r="O71" s="504">
        <f t="shared" si="16"/>
        <v>0</v>
      </c>
      <c r="P71" s="278"/>
      <c r="R71" s="243"/>
      <c r="S71" s="243"/>
      <c r="T71" s="243"/>
      <c r="U71" s="243"/>
    </row>
    <row r="72" spans="2:21">
      <c r="B72" s="145" t="str">
        <f t="shared" si="11"/>
        <v/>
      </c>
      <c r="C72" s="495">
        <f t="shared" si="9"/>
        <v>2067</v>
      </c>
      <c r="D72" s="508"/>
      <c r="E72" s="509">
        <f t="shared" si="10"/>
        <v>0</v>
      </c>
      <c r="F72" s="510">
        <f t="shared" si="12"/>
        <v>0</v>
      </c>
      <c r="G72" s="523">
        <f t="shared" si="6"/>
        <v>0</v>
      </c>
      <c r="H72" s="477">
        <f t="shared" si="7"/>
        <v>0</v>
      </c>
      <c r="I72" s="500">
        <f t="shared" si="13"/>
        <v>0</v>
      </c>
      <c r="J72" s="500"/>
      <c r="K72" s="512"/>
      <c r="L72" s="504">
        <f t="shared" si="14"/>
        <v>0</v>
      </c>
      <c r="M72" s="512"/>
      <c r="N72" s="504">
        <f t="shared" si="15"/>
        <v>0</v>
      </c>
      <c r="O72" s="504">
        <f t="shared" si="16"/>
        <v>0</v>
      </c>
      <c r="P72" s="278"/>
      <c r="R72" s="243"/>
      <c r="S72" s="243"/>
      <c r="T72" s="243"/>
      <c r="U72" s="243"/>
    </row>
    <row r="73" spans="2:21" ht="13.5" thickBot="1">
      <c r="B73" s="145" t="str">
        <f t="shared" si="11"/>
        <v/>
      </c>
      <c r="C73" s="524">
        <f t="shared" si="9"/>
        <v>2068</v>
      </c>
      <c r="D73" s="525"/>
      <c r="E73" s="526">
        <f t="shared" si="10"/>
        <v>0</v>
      </c>
      <c r="F73" s="527">
        <f t="shared" si="12"/>
        <v>0</v>
      </c>
      <c r="G73" s="528">
        <f t="shared" si="6"/>
        <v>0</v>
      </c>
      <c r="H73" s="458">
        <f t="shared" si="7"/>
        <v>0</v>
      </c>
      <c r="I73" s="529">
        <f t="shared" si="13"/>
        <v>0</v>
      </c>
      <c r="J73" s="500"/>
      <c r="K73" s="530"/>
      <c r="L73" s="531">
        <f t="shared" si="14"/>
        <v>0</v>
      </c>
      <c r="M73" s="530"/>
      <c r="N73" s="531">
        <f t="shared" si="15"/>
        <v>0</v>
      </c>
      <c r="O73" s="531">
        <f t="shared" si="16"/>
        <v>0</v>
      </c>
      <c r="P73" s="278"/>
      <c r="R73" s="243"/>
      <c r="S73" s="243"/>
      <c r="T73" s="243"/>
      <c r="U73" s="243"/>
    </row>
    <row r="74" spans="2:21">
      <c r="C74" s="349" t="s">
        <v>75</v>
      </c>
      <c r="D74" s="294"/>
      <c r="E74" s="294">
        <f>SUM(E17:E73)</f>
        <v>45573.039110189922</v>
      </c>
      <c r="F74" s="294"/>
      <c r="G74" s="294">
        <f>SUM(G17:G73)</f>
        <v>423078.95453720703</v>
      </c>
      <c r="H74" s="294">
        <f>SUM(H17:H73)</f>
        <v>423078.95453720703</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533" t="str">
        <f ca="1">P1</f>
        <v>OKT Project 5 of 23</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2020</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0</v>
      </c>
      <c r="N88" s="544">
        <f>IF(J93&lt;D11,0,VLOOKUP(J93,C17:O73,11))</f>
        <v>0</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0</v>
      </c>
      <c r="N89" s="548">
        <f>IF(J93&lt;D11,0,VLOOKUP(J93,C100:P155,7))</f>
        <v>0</v>
      </c>
      <c r="O89" s="549">
        <f>+N89-M89</f>
        <v>0</v>
      </c>
      <c r="P89" s="243"/>
      <c r="Q89" s="243"/>
      <c r="R89" s="243"/>
      <c r="S89" s="243"/>
      <c r="T89" s="243"/>
      <c r="U89" s="243"/>
    </row>
    <row r="90" spans="1:21" ht="13.5" thickBot="1">
      <c r="C90" s="454" t="s">
        <v>82</v>
      </c>
      <c r="D90" s="550" t="str">
        <f>+D7</f>
        <v>Install 345kV terminal at Valliant***</v>
      </c>
      <c r="E90" s="243"/>
      <c r="F90" s="243"/>
      <c r="G90" s="243"/>
      <c r="H90" s="243"/>
      <c r="I90" s="325"/>
      <c r="J90" s="325"/>
      <c r="K90" s="551"/>
      <c r="L90" s="552" t="s">
        <v>135</v>
      </c>
      <c r="M90" s="553">
        <f>+M89-M88</f>
        <v>0</v>
      </c>
      <c r="N90" s="553">
        <f>+N89-N88</f>
        <v>0</v>
      </c>
      <c r="O90" s="554">
        <f>+O89-O88</f>
        <v>0</v>
      </c>
      <c r="P90" s="243"/>
      <c r="Q90" s="243"/>
      <c r="R90" s="243"/>
      <c r="S90" s="243"/>
      <c r="T90" s="243"/>
      <c r="U90" s="243"/>
    </row>
    <row r="91" spans="1:21" ht="13.5" thickBot="1">
      <c r="C91" s="532"/>
      <c r="D91" s="604" t="s">
        <v>210</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TP2007167</v>
      </c>
      <c r="E92" s="558"/>
      <c r="F92" s="558"/>
      <c r="G92" s="558"/>
      <c r="H92" s="558"/>
      <c r="I92" s="558"/>
      <c r="J92" s="558"/>
      <c r="K92" s="560"/>
      <c r="P92" s="468"/>
      <c r="Q92" s="243"/>
      <c r="R92" s="243"/>
      <c r="S92" s="243"/>
      <c r="T92" s="243"/>
      <c r="U92" s="243"/>
    </row>
    <row r="93" spans="1:21">
      <c r="C93" s="472" t="s">
        <v>49</v>
      </c>
      <c r="D93" s="582">
        <f>IF(D11=I10,0,D10)</f>
        <v>0</v>
      </c>
      <c r="E93" s="248" t="s">
        <v>84</v>
      </c>
      <c r="H93" s="408"/>
      <c r="I93" s="408"/>
      <c r="J93" s="471">
        <f>+'OKT.WS.G.BPU.ATRR.True-up'!M16</f>
        <v>2020</v>
      </c>
      <c r="K93" s="467"/>
      <c r="L93" s="294" t="s">
        <v>85</v>
      </c>
      <c r="P93" s="278"/>
      <c r="Q93" s="243"/>
      <c r="R93" s="243"/>
      <c r="S93" s="243"/>
      <c r="T93" s="243"/>
      <c r="U93" s="243"/>
    </row>
    <row r="94" spans="1:21">
      <c r="C94" s="472" t="s">
        <v>52</v>
      </c>
      <c r="D94" s="561">
        <f>IF(D11=I10,"",D11)</f>
        <v>2012</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f>IF(D11=I10,"",D12)</f>
        <v>4</v>
      </c>
      <c r="E95" s="472" t="s">
        <v>55</v>
      </c>
      <c r="F95" s="408"/>
      <c r="G95" s="408"/>
      <c r="J95" s="476">
        <f>'OKT.WS.G.BPU.ATRR.True-up'!$F$81</f>
        <v>0.11475877389767174</v>
      </c>
      <c r="K95" s="413"/>
      <c r="L95" s="145" t="s">
        <v>86</v>
      </c>
      <c r="P95" s="278"/>
      <c r="Q95" s="243"/>
      <c r="R95" s="243"/>
      <c r="S95" s="243"/>
      <c r="T95" s="243"/>
      <c r="U95" s="243"/>
    </row>
    <row r="96" spans="1:21">
      <c r="C96" s="472" t="s">
        <v>57</v>
      </c>
      <c r="D96" s="474">
        <f>'OKT.WS.G.BPU.ATRR.True-up'!F$93</f>
        <v>21</v>
      </c>
      <c r="E96" s="472" t="s">
        <v>58</v>
      </c>
      <c r="F96" s="408"/>
      <c r="G96" s="408"/>
      <c r="J96" s="476">
        <f>IF(H88="",J95,'OKT.WS.G.BPU.ATRR.True-up'!$F$80)</f>
        <v>0.11475877389767174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0</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B100" s="145" t="str">
        <f t="shared" ref="B100:B131" si="17">IF(D100=F99,"","IU")</f>
        <v>IU</v>
      </c>
      <c r="C100" s="495">
        <f>IF(D94= "","-",D94)</f>
        <v>2012</v>
      </c>
      <c r="D100" s="349">
        <f>IF(D94=C100,0,IF(D93&lt;100000,0,D93))</f>
        <v>0</v>
      </c>
      <c r="E100" s="511">
        <f>IF(OR(D11=I10,D93&lt;100000),0,J97/12*(12-D95))</f>
        <v>0</v>
      </c>
      <c r="F100" s="510">
        <f>IF(D94=C100,+D93-E100,+D100-E100)</f>
        <v>0</v>
      </c>
      <c r="G100" s="605">
        <f t="shared" ref="G100:G131" si="18">+(F100+D100)/2</f>
        <v>0</v>
      </c>
      <c r="H100" s="605">
        <f t="shared" ref="H100:H131" si="19">+J$95*G100+E100</f>
        <v>0</v>
      </c>
      <c r="I100" s="605">
        <f t="shared" ref="I100:I131" si="20">+J$96*G100+E100</f>
        <v>0</v>
      </c>
      <c r="J100" s="504">
        <f t="shared" ref="J100:J131" si="21">+I100-H100</f>
        <v>0</v>
      </c>
      <c r="K100" s="504"/>
      <c r="L100" s="606"/>
      <c r="M100" s="503">
        <f t="shared" ref="M100:M131" si="22">IF(L100&lt;&gt;0,+H100-L100,0)</f>
        <v>0</v>
      </c>
      <c r="N100" s="606"/>
      <c r="O100" s="503">
        <f t="shared" ref="O100:O131" si="23">IF(N100&lt;&gt;0,+I100-N100,0)</f>
        <v>0</v>
      </c>
      <c r="P100" s="503">
        <f t="shared" ref="P100:P131" si="24">+O100-M100</f>
        <v>0</v>
      </c>
      <c r="Q100" s="243"/>
      <c r="R100" s="243"/>
      <c r="S100" s="243"/>
      <c r="T100" s="243"/>
      <c r="U100" s="243"/>
    </row>
    <row r="101" spans="1:21">
      <c r="B101" s="145" t="str">
        <f t="shared" si="17"/>
        <v/>
      </c>
      <c r="C101" s="495">
        <f>IF(D94="","-",+C100+1)</f>
        <v>2013</v>
      </c>
      <c r="D101" s="349">
        <f>IF(F100+SUM(E$100:E100)=D$93,F100,D$93-SUM(E$100:E100))</f>
        <v>0</v>
      </c>
      <c r="E101" s="509">
        <f>IF(+J97&lt;F100,J97,D101)</f>
        <v>0</v>
      </c>
      <c r="F101" s="510">
        <f t="shared" ref="F101:F132" si="25">+D101-E101</f>
        <v>0</v>
      </c>
      <c r="G101" s="510">
        <f t="shared" si="18"/>
        <v>0</v>
      </c>
      <c r="H101" s="523">
        <f t="shared" si="19"/>
        <v>0</v>
      </c>
      <c r="I101" s="572">
        <f t="shared" si="20"/>
        <v>0</v>
      </c>
      <c r="J101" s="504">
        <f t="shared" si="21"/>
        <v>0</v>
      </c>
      <c r="K101" s="504"/>
      <c r="L101" s="512"/>
      <c r="M101" s="504">
        <f t="shared" si="22"/>
        <v>0</v>
      </c>
      <c r="N101" s="512"/>
      <c r="O101" s="504">
        <f t="shared" si="23"/>
        <v>0</v>
      </c>
      <c r="P101" s="504">
        <f t="shared" si="24"/>
        <v>0</v>
      </c>
      <c r="Q101" s="243"/>
      <c r="R101" s="243"/>
      <c r="S101" s="243"/>
      <c r="T101" s="243"/>
      <c r="U101" s="243"/>
    </row>
    <row r="102" spans="1:21">
      <c r="B102" s="145" t="str">
        <f t="shared" si="17"/>
        <v/>
      </c>
      <c r="C102" s="495">
        <f>IF(D94="","-",+C101+1)</f>
        <v>2014</v>
      </c>
      <c r="D102" s="349">
        <f>IF(F101+SUM(E$100:E101)=D$93,F101,D$93-SUM(E$100:E101))</f>
        <v>0</v>
      </c>
      <c r="E102" s="509">
        <f>IF(+J97&lt;F101,J97,D102)</f>
        <v>0</v>
      </c>
      <c r="F102" s="510">
        <f t="shared" si="25"/>
        <v>0</v>
      </c>
      <c r="G102" s="510">
        <f t="shared" si="18"/>
        <v>0</v>
      </c>
      <c r="H102" s="523">
        <f t="shared" si="19"/>
        <v>0</v>
      </c>
      <c r="I102" s="572">
        <f t="shared" si="20"/>
        <v>0</v>
      </c>
      <c r="J102" s="504">
        <f t="shared" si="21"/>
        <v>0</v>
      </c>
      <c r="K102" s="504"/>
      <c r="L102" s="512"/>
      <c r="M102" s="504">
        <f t="shared" si="22"/>
        <v>0</v>
      </c>
      <c r="N102" s="512"/>
      <c r="O102" s="504">
        <f t="shared" si="23"/>
        <v>0</v>
      </c>
      <c r="P102" s="504">
        <f t="shared" si="24"/>
        <v>0</v>
      </c>
      <c r="Q102" s="243"/>
      <c r="R102" s="243"/>
      <c r="S102" s="243"/>
      <c r="T102" s="243"/>
      <c r="U102" s="243"/>
    </row>
    <row r="103" spans="1:21">
      <c r="B103" s="145" t="str">
        <f t="shared" si="17"/>
        <v/>
      </c>
      <c r="C103" s="495">
        <f>IF(D94="","-",+C102+1)</f>
        <v>2015</v>
      </c>
      <c r="D103" s="349">
        <f>IF(F102+SUM(E$100:E102)=D$93,F102,D$93-SUM(E$100:E102))</f>
        <v>0</v>
      </c>
      <c r="E103" s="509">
        <f>IF(+J97&lt;F102,J97,D103)</f>
        <v>0</v>
      </c>
      <c r="F103" s="510">
        <f t="shared" si="25"/>
        <v>0</v>
      </c>
      <c r="G103" s="510">
        <f t="shared" si="18"/>
        <v>0</v>
      </c>
      <c r="H103" s="523">
        <f t="shared" si="19"/>
        <v>0</v>
      </c>
      <c r="I103" s="572">
        <f t="shared" si="20"/>
        <v>0</v>
      </c>
      <c r="J103" s="504">
        <f t="shared" si="21"/>
        <v>0</v>
      </c>
      <c r="K103" s="504"/>
      <c r="L103" s="512"/>
      <c r="M103" s="504">
        <f t="shared" si="22"/>
        <v>0</v>
      </c>
      <c r="N103" s="512"/>
      <c r="O103" s="504">
        <f t="shared" si="23"/>
        <v>0</v>
      </c>
      <c r="P103" s="504">
        <f t="shared" si="24"/>
        <v>0</v>
      </c>
      <c r="Q103" s="243"/>
      <c r="R103" s="243"/>
      <c r="S103" s="243"/>
      <c r="T103" s="243"/>
      <c r="U103" s="243"/>
    </row>
    <row r="104" spans="1:21">
      <c r="B104" s="145" t="str">
        <f t="shared" si="17"/>
        <v/>
      </c>
      <c r="C104" s="495">
        <f>IF(D94="","-",+C103+1)</f>
        <v>2016</v>
      </c>
      <c r="D104" s="349">
        <f>IF(F103+SUM(E$100:E103)=D$93,F103,D$93-SUM(E$100:E103))</f>
        <v>0</v>
      </c>
      <c r="E104" s="509">
        <f>IF(+J97&lt;F103,J97,D104)</f>
        <v>0</v>
      </c>
      <c r="F104" s="510">
        <f t="shared" si="25"/>
        <v>0</v>
      </c>
      <c r="G104" s="510">
        <f t="shared" si="18"/>
        <v>0</v>
      </c>
      <c r="H104" s="523">
        <f t="shared" si="19"/>
        <v>0</v>
      </c>
      <c r="I104" s="572">
        <f t="shared" si="20"/>
        <v>0</v>
      </c>
      <c r="J104" s="504">
        <f t="shared" si="21"/>
        <v>0</v>
      </c>
      <c r="K104" s="504"/>
      <c r="L104" s="512"/>
      <c r="M104" s="504">
        <f t="shared" si="22"/>
        <v>0</v>
      </c>
      <c r="N104" s="512"/>
      <c r="O104" s="504">
        <f t="shared" si="23"/>
        <v>0</v>
      </c>
      <c r="P104" s="504">
        <f t="shared" si="24"/>
        <v>0</v>
      </c>
      <c r="Q104" s="243"/>
      <c r="R104" s="243"/>
      <c r="S104" s="243"/>
      <c r="T104" s="243"/>
      <c r="U104" s="243"/>
    </row>
    <row r="105" spans="1:21">
      <c r="B105" s="145" t="str">
        <f t="shared" si="17"/>
        <v/>
      </c>
      <c r="C105" s="495">
        <f>IF(D94="","-",+C104+1)</f>
        <v>2017</v>
      </c>
      <c r="D105" s="349">
        <f>IF(F104+SUM(E$100:E104)=D$93,F104,D$93-SUM(E$100:E104))</f>
        <v>0</v>
      </c>
      <c r="E105" s="509">
        <f>IF(+J97&lt;F104,J97,D105)</f>
        <v>0</v>
      </c>
      <c r="F105" s="510">
        <f t="shared" si="25"/>
        <v>0</v>
      </c>
      <c r="G105" s="510">
        <f t="shared" si="18"/>
        <v>0</v>
      </c>
      <c r="H105" s="523">
        <f t="shared" si="19"/>
        <v>0</v>
      </c>
      <c r="I105" s="572">
        <f t="shared" si="20"/>
        <v>0</v>
      </c>
      <c r="J105" s="504">
        <f t="shared" si="21"/>
        <v>0</v>
      </c>
      <c r="K105" s="504"/>
      <c r="L105" s="512"/>
      <c r="M105" s="504">
        <f t="shared" si="22"/>
        <v>0</v>
      </c>
      <c r="N105" s="512"/>
      <c r="O105" s="504">
        <f t="shared" si="23"/>
        <v>0</v>
      </c>
      <c r="P105" s="504">
        <f t="shared" si="24"/>
        <v>0</v>
      </c>
      <c r="Q105" s="243"/>
      <c r="R105" s="243"/>
      <c r="S105" s="243"/>
      <c r="T105" s="243"/>
      <c r="U105" s="243"/>
    </row>
    <row r="106" spans="1:21">
      <c r="B106" s="145" t="str">
        <f t="shared" si="17"/>
        <v/>
      </c>
      <c r="C106" s="495">
        <f>IF(D94="","-",+C105+1)</f>
        <v>2018</v>
      </c>
      <c r="D106" s="349">
        <f>IF(F105+SUM(E$100:E105)=D$93,F105,D$93-SUM(E$100:E105))</f>
        <v>0</v>
      </c>
      <c r="E106" s="509">
        <f>IF(+J97&lt;F105,J97,D106)</f>
        <v>0</v>
      </c>
      <c r="F106" s="510">
        <f t="shared" si="25"/>
        <v>0</v>
      </c>
      <c r="G106" s="510">
        <f t="shared" si="18"/>
        <v>0</v>
      </c>
      <c r="H106" s="523">
        <f t="shared" si="19"/>
        <v>0</v>
      </c>
      <c r="I106" s="572">
        <f t="shared" si="20"/>
        <v>0</v>
      </c>
      <c r="J106" s="504">
        <f t="shared" si="21"/>
        <v>0</v>
      </c>
      <c r="K106" s="504"/>
      <c r="L106" s="512"/>
      <c r="M106" s="504">
        <f t="shared" si="22"/>
        <v>0</v>
      </c>
      <c r="N106" s="512"/>
      <c r="O106" s="504">
        <f t="shared" si="23"/>
        <v>0</v>
      </c>
      <c r="P106" s="504">
        <f t="shared" si="24"/>
        <v>0</v>
      </c>
      <c r="Q106" s="243"/>
      <c r="R106" s="243"/>
      <c r="S106" s="243"/>
      <c r="T106" s="243"/>
      <c r="U106" s="243"/>
    </row>
    <row r="107" spans="1:21">
      <c r="B107" s="145" t="str">
        <f t="shared" si="17"/>
        <v/>
      </c>
      <c r="C107" s="495">
        <f>IF(D94="","-",+C106+1)</f>
        <v>2019</v>
      </c>
      <c r="D107" s="349">
        <f>IF(F106+SUM(E$100:E106)=D$93,F106,D$93-SUM(E$100:E106))</f>
        <v>0</v>
      </c>
      <c r="E107" s="509">
        <f>IF(+J97&lt;F106,J97,D107)</f>
        <v>0</v>
      </c>
      <c r="F107" s="510">
        <f t="shared" si="25"/>
        <v>0</v>
      </c>
      <c r="G107" s="510">
        <f t="shared" si="18"/>
        <v>0</v>
      </c>
      <c r="H107" s="523">
        <f t="shared" si="19"/>
        <v>0</v>
      </c>
      <c r="I107" s="572">
        <f t="shared" si="20"/>
        <v>0</v>
      </c>
      <c r="J107" s="504">
        <f t="shared" si="21"/>
        <v>0</v>
      </c>
      <c r="K107" s="504"/>
      <c r="L107" s="512"/>
      <c r="M107" s="504">
        <f t="shared" si="22"/>
        <v>0</v>
      </c>
      <c r="N107" s="512"/>
      <c r="O107" s="504">
        <f t="shared" si="23"/>
        <v>0</v>
      </c>
      <c r="P107" s="504">
        <f t="shared" si="24"/>
        <v>0</v>
      </c>
      <c r="Q107" s="243"/>
      <c r="R107" s="243"/>
      <c r="S107" s="243"/>
      <c r="T107" s="243"/>
      <c r="U107" s="243"/>
    </row>
    <row r="108" spans="1:21">
      <c r="B108" s="145" t="str">
        <f t="shared" si="17"/>
        <v/>
      </c>
      <c r="C108" s="495">
        <f>IF(D94="","-",+C107+1)</f>
        <v>2020</v>
      </c>
      <c r="D108" s="349">
        <f>IF(F107+SUM(E$100:E107)=D$93,F107,D$93-SUM(E$100:E107))</f>
        <v>0</v>
      </c>
      <c r="E108" s="509">
        <f>IF(+J97&lt;F107,J97,D108)</f>
        <v>0</v>
      </c>
      <c r="F108" s="510">
        <f t="shared" si="25"/>
        <v>0</v>
      </c>
      <c r="G108" s="510">
        <f t="shared" si="18"/>
        <v>0</v>
      </c>
      <c r="H108" s="523">
        <f t="shared" si="19"/>
        <v>0</v>
      </c>
      <c r="I108" s="572">
        <f t="shared" si="20"/>
        <v>0</v>
      </c>
      <c r="J108" s="504">
        <f t="shared" si="21"/>
        <v>0</v>
      </c>
      <c r="K108" s="504"/>
      <c r="L108" s="512"/>
      <c r="M108" s="504">
        <f t="shared" si="22"/>
        <v>0</v>
      </c>
      <c r="N108" s="512"/>
      <c r="O108" s="504">
        <f t="shared" si="23"/>
        <v>0</v>
      </c>
      <c r="P108" s="504">
        <f t="shared" si="24"/>
        <v>0</v>
      </c>
      <c r="Q108" s="243"/>
      <c r="R108" s="243"/>
      <c r="S108" s="243"/>
      <c r="T108" s="243"/>
      <c r="U108" s="243"/>
    </row>
    <row r="109" spans="1:21">
      <c r="B109" s="145" t="str">
        <f t="shared" si="17"/>
        <v/>
      </c>
      <c r="C109" s="495">
        <f>IF(D94="","-",+C108+1)</f>
        <v>2021</v>
      </c>
      <c r="D109" s="349">
        <f>IF(F108+SUM(E$100:E108)=D$93,F108,D$93-SUM(E$100:E108))</f>
        <v>0</v>
      </c>
      <c r="E109" s="509">
        <f>IF(+J97&lt;F108,J97,D109)</f>
        <v>0</v>
      </c>
      <c r="F109" s="510">
        <f t="shared" si="25"/>
        <v>0</v>
      </c>
      <c r="G109" s="510">
        <f t="shared" si="18"/>
        <v>0</v>
      </c>
      <c r="H109" s="523">
        <f t="shared" si="19"/>
        <v>0</v>
      </c>
      <c r="I109" s="572">
        <f t="shared" si="20"/>
        <v>0</v>
      </c>
      <c r="J109" s="504">
        <f t="shared" si="21"/>
        <v>0</v>
      </c>
      <c r="K109" s="504"/>
      <c r="L109" s="512"/>
      <c r="M109" s="504">
        <f t="shared" si="22"/>
        <v>0</v>
      </c>
      <c r="N109" s="512"/>
      <c r="O109" s="504">
        <f t="shared" si="23"/>
        <v>0</v>
      </c>
      <c r="P109" s="504">
        <f t="shared" si="24"/>
        <v>0</v>
      </c>
      <c r="Q109" s="243"/>
      <c r="R109" s="243"/>
      <c r="S109" s="243"/>
      <c r="T109" s="243"/>
      <c r="U109" s="243"/>
    </row>
    <row r="110" spans="1:21">
      <c r="B110" s="145" t="str">
        <f t="shared" si="17"/>
        <v/>
      </c>
      <c r="C110" s="495">
        <f>IF(D94="","-",+C109+1)</f>
        <v>2022</v>
      </c>
      <c r="D110" s="349">
        <f>IF(F109+SUM(E$100:E109)=D$93,F109,D$93-SUM(E$100:E109))</f>
        <v>0</v>
      </c>
      <c r="E110" s="509">
        <f>IF(+J97&lt;F109,J97,D110)</f>
        <v>0</v>
      </c>
      <c r="F110" s="510">
        <f t="shared" si="25"/>
        <v>0</v>
      </c>
      <c r="G110" s="510">
        <f t="shared" si="18"/>
        <v>0</v>
      </c>
      <c r="H110" s="523">
        <f t="shared" si="19"/>
        <v>0</v>
      </c>
      <c r="I110" s="572">
        <f t="shared" si="20"/>
        <v>0</v>
      </c>
      <c r="J110" s="504">
        <f t="shared" si="21"/>
        <v>0</v>
      </c>
      <c r="K110" s="504"/>
      <c r="L110" s="512"/>
      <c r="M110" s="504">
        <f t="shared" si="22"/>
        <v>0</v>
      </c>
      <c r="N110" s="512"/>
      <c r="O110" s="504">
        <f t="shared" si="23"/>
        <v>0</v>
      </c>
      <c r="P110" s="504">
        <f t="shared" si="24"/>
        <v>0</v>
      </c>
      <c r="Q110" s="243"/>
      <c r="R110" s="243"/>
      <c r="S110" s="243"/>
      <c r="T110" s="243"/>
      <c r="U110" s="243"/>
    </row>
    <row r="111" spans="1:21">
      <c r="B111" s="145" t="str">
        <f t="shared" si="17"/>
        <v/>
      </c>
      <c r="C111" s="495">
        <f>IF(D94="","-",+C110+1)</f>
        <v>2023</v>
      </c>
      <c r="D111" s="349">
        <f>IF(F110+SUM(E$100:E110)=D$93,F110,D$93-SUM(E$100:E110))</f>
        <v>0</v>
      </c>
      <c r="E111" s="509">
        <f>IF(+J97&lt;F110,J97,D111)</f>
        <v>0</v>
      </c>
      <c r="F111" s="510">
        <f t="shared" si="25"/>
        <v>0</v>
      </c>
      <c r="G111" s="510">
        <f t="shared" si="18"/>
        <v>0</v>
      </c>
      <c r="H111" s="523">
        <f t="shared" si="19"/>
        <v>0</v>
      </c>
      <c r="I111" s="572">
        <f t="shared" si="20"/>
        <v>0</v>
      </c>
      <c r="J111" s="504">
        <f t="shared" si="21"/>
        <v>0</v>
      </c>
      <c r="K111" s="504"/>
      <c r="L111" s="512"/>
      <c r="M111" s="504">
        <f t="shared" si="22"/>
        <v>0</v>
      </c>
      <c r="N111" s="512"/>
      <c r="O111" s="504">
        <f t="shared" si="23"/>
        <v>0</v>
      </c>
      <c r="P111" s="504">
        <f t="shared" si="24"/>
        <v>0</v>
      </c>
      <c r="Q111" s="243"/>
      <c r="R111" s="243"/>
      <c r="S111" s="243"/>
      <c r="T111" s="243"/>
      <c r="U111" s="243"/>
    </row>
    <row r="112" spans="1:21">
      <c r="B112" s="145" t="str">
        <f t="shared" si="17"/>
        <v/>
      </c>
      <c r="C112" s="495">
        <f>IF(D94="","-",+C111+1)</f>
        <v>2024</v>
      </c>
      <c r="D112" s="349">
        <f>IF(F111+SUM(E$100:E111)=D$93,F111,D$93-SUM(E$100:E111))</f>
        <v>0</v>
      </c>
      <c r="E112" s="509">
        <f>IF(+J97&lt;F111,J97,D112)</f>
        <v>0</v>
      </c>
      <c r="F112" s="510">
        <f t="shared" si="25"/>
        <v>0</v>
      </c>
      <c r="G112" s="510">
        <f t="shared" si="18"/>
        <v>0</v>
      </c>
      <c r="H112" s="523">
        <f t="shared" si="19"/>
        <v>0</v>
      </c>
      <c r="I112" s="572">
        <f t="shared" si="20"/>
        <v>0</v>
      </c>
      <c r="J112" s="504">
        <f t="shared" si="21"/>
        <v>0</v>
      </c>
      <c r="K112" s="504"/>
      <c r="L112" s="512"/>
      <c r="M112" s="504">
        <f t="shared" si="22"/>
        <v>0</v>
      </c>
      <c r="N112" s="512"/>
      <c r="O112" s="504">
        <f t="shared" si="23"/>
        <v>0</v>
      </c>
      <c r="P112" s="504">
        <f t="shared" si="24"/>
        <v>0</v>
      </c>
      <c r="Q112" s="243"/>
      <c r="R112" s="243"/>
      <c r="S112" s="243"/>
      <c r="T112" s="243"/>
      <c r="U112" s="243"/>
    </row>
    <row r="113" spans="2:21">
      <c r="B113" s="145" t="str">
        <f t="shared" si="17"/>
        <v/>
      </c>
      <c r="C113" s="495">
        <f>IF(D94="","-",+C112+1)</f>
        <v>2025</v>
      </c>
      <c r="D113" s="349">
        <f>IF(F112+SUM(E$100:E112)=D$93,F112,D$93-SUM(E$100:E112))</f>
        <v>0</v>
      </c>
      <c r="E113" s="509">
        <f>IF(+J97&lt;F112,J97,D113)</f>
        <v>0</v>
      </c>
      <c r="F113" s="510">
        <f t="shared" si="25"/>
        <v>0</v>
      </c>
      <c r="G113" s="510">
        <f t="shared" si="18"/>
        <v>0</v>
      </c>
      <c r="H113" s="523">
        <f t="shared" si="19"/>
        <v>0</v>
      </c>
      <c r="I113" s="572">
        <f t="shared" si="20"/>
        <v>0</v>
      </c>
      <c r="J113" s="504">
        <f t="shared" si="21"/>
        <v>0</v>
      </c>
      <c r="K113" s="504"/>
      <c r="L113" s="512"/>
      <c r="M113" s="504">
        <f t="shared" si="22"/>
        <v>0</v>
      </c>
      <c r="N113" s="512"/>
      <c r="O113" s="504">
        <f t="shared" si="23"/>
        <v>0</v>
      </c>
      <c r="P113" s="504">
        <f t="shared" si="24"/>
        <v>0</v>
      </c>
      <c r="Q113" s="243"/>
      <c r="R113" s="243"/>
      <c r="S113" s="243"/>
      <c r="T113" s="243"/>
      <c r="U113" s="243"/>
    </row>
    <row r="114" spans="2:21">
      <c r="B114" s="145" t="str">
        <f t="shared" si="17"/>
        <v/>
      </c>
      <c r="C114" s="495">
        <f>IF(D94="","-",+C113+1)</f>
        <v>2026</v>
      </c>
      <c r="D114" s="349">
        <f>IF(F113+SUM(E$100:E113)=D$93,F113,D$93-SUM(E$100:E113))</f>
        <v>0</v>
      </c>
      <c r="E114" s="509">
        <f>IF(+J97&lt;F113,J97,D114)</f>
        <v>0</v>
      </c>
      <c r="F114" s="510">
        <f t="shared" si="25"/>
        <v>0</v>
      </c>
      <c r="G114" s="510">
        <f t="shared" si="18"/>
        <v>0</v>
      </c>
      <c r="H114" s="523">
        <f t="shared" si="19"/>
        <v>0</v>
      </c>
      <c r="I114" s="572">
        <f t="shared" si="20"/>
        <v>0</v>
      </c>
      <c r="J114" s="504">
        <f t="shared" si="21"/>
        <v>0</v>
      </c>
      <c r="K114" s="504"/>
      <c r="L114" s="512"/>
      <c r="M114" s="504">
        <f t="shared" si="22"/>
        <v>0</v>
      </c>
      <c r="N114" s="512"/>
      <c r="O114" s="504">
        <f t="shared" si="23"/>
        <v>0</v>
      </c>
      <c r="P114" s="504">
        <f t="shared" si="24"/>
        <v>0</v>
      </c>
      <c r="Q114" s="243"/>
      <c r="R114" s="243"/>
      <c r="S114" s="243"/>
      <c r="T114" s="243"/>
      <c r="U114" s="243"/>
    </row>
    <row r="115" spans="2:21">
      <c r="B115" s="145" t="str">
        <f t="shared" si="17"/>
        <v/>
      </c>
      <c r="C115" s="495">
        <f>IF(D94="","-",+C114+1)</f>
        <v>2027</v>
      </c>
      <c r="D115" s="349">
        <f>IF(F114+SUM(E$100:E114)=D$93,F114,D$93-SUM(E$100:E114))</f>
        <v>0</v>
      </c>
      <c r="E115" s="509">
        <f>IF(+J97&lt;F114,J97,D115)</f>
        <v>0</v>
      </c>
      <c r="F115" s="510">
        <f t="shared" si="25"/>
        <v>0</v>
      </c>
      <c r="G115" s="510">
        <f t="shared" si="18"/>
        <v>0</v>
      </c>
      <c r="H115" s="523">
        <f t="shared" si="19"/>
        <v>0</v>
      </c>
      <c r="I115" s="572">
        <f t="shared" si="20"/>
        <v>0</v>
      </c>
      <c r="J115" s="504">
        <f t="shared" si="21"/>
        <v>0</v>
      </c>
      <c r="K115" s="504"/>
      <c r="L115" s="512"/>
      <c r="M115" s="504">
        <f t="shared" si="22"/>
        <v>0</v>
      </c>
      <c r="N115" s="512"/>
      <c r="O115" s="504">
        <f t="shared" si="23"/>
        <v>0</v>
      </c>
      <c r="P115" s="504">
        <f t="shared" si="24"/>
        <v>0</v>
      </c>
      <c r="Q115" s="243"/>
      <c r="R115" s="243"/>
      <c r="S115" s="243"/>
      <c r="T115" s="243"/>
      <c r="U115" s="243"/>
    </row>
    <row r="116" spans="2:21">
      <c r="B116" s="145" t="str">
        <f t="shared" si="17"/>
        <v/>
      </c>
      <c r="C116" s="495">
        <f>IF(D94="","-",+C115+1)</f>
        <v>2028</v>
      </c>
      <c r="D116" s="349">
        <f>IF(F115+SUM(E$100:E115)=D$93,F115,D$93-SUM(E$100:E115))</f>
        <v>0</v>
      </c>
      <c r="E116" s="509">
        <f>IF(+J97&lt;F115,J97,D116)</f>
        <v>0</v>
      </c>
      <c r="F116" s="510">
        <f t="shared" si="25"/>
        <v>0</v>
      </c>
      <c r="G116" s="510">
        <f t="shared" si="18"/>
        <v>0</v>
      </c>
      <c r="H116" s="523">
        <f t="shared" si="19"/>
        <v>0</v>
      </c>
      <c r="I116" s="572">
        <f t="shared" si="20"/>
        <v>0</v>
      </c>
      <c r="J116" s="504">
        <f t="shared" si="21"/>
        <v>0</v>
      </c>
      <c r="K116" s="504"/>
      <c r="L116" s="512"/>
      <c r="M116" s="504">
        <f t="shared" si="22"/>
        <v>0</v>
      </c>
      <c r="N116" s="512"/>
      <c r="O116" s="504">
        <f t="shared" si="23"/>
        <v>0</v>
      </c>
      <c r="P116" s="504">
        <f t="shared" si="24"/>
        <v>0</v>
      </c>
      <c r="Q116" s="243"/>
      <c r="R116" s="243"/>
      <c r="S116" s="243"/>
      <c r="T116" s="243"/>
      <c r="U116" s="243"/>
    </row>
    <row r="117" spans="2:21">
      <c r="B117" s="145" t="str">
        <f t="shared" si="17"/>
        <v/>
      </c>
      <c r="C117" s="495">
        <f>IF(D94="","-",+C116+1)</f>
        <v>2029</v>
      </c>
      <c r="D117" s="349">
        <f>IF(F116+SUM(E$100:E116)=D$93,F116,D$93-SUM(E$100:E116))</f>
        <v>0</v>
      </c>
      <c r="E117" s="509">
        <f>IF(+J97&lt;F116,J97,D117)</f>
        <v>0</v>
      </c>
      <c r="F117" s="510">
        <f t="shared" si="25"/>
        <v>0</v>
      </c>
      <c r="G117" s="510">
        <f t="shared" si="18"/>
        <v>0</v>
      </c>
      <c r="H117" s="523">
        <f t="shared" si="19"/>
        <v>0</v>
      </c>
      <c r="I117" s="572">
        <f t="shared" si="20"/>
        <v>0</v>
      </c>
      <c r="J117" s="504">
        <f t="shared" si="21"/>
        <v>0</v>
      </c>
      <c r="K117" s="504"/>
      <c r="L117" s="512"/>
      <c r="M117" s="504">
        <f t="shared" si="22"/>
        <v>0</v>
      </c>
      <c r="N117" s="512"/>
      <c r="O117" s="504">
        <f t="shared" si="23"/>
        <v>0</v>
      </c>
      <c r="P117" s="504">
        <f t="shared" si="24"/>
        <v>0</v>
      </c>
      <c r="Q117" s="243"/>
      <c r="R117" s="243"/>
      <c r="S117" s="243"/>
      <c r="T117" s="243"/>
      <c r="U117" s="243"/>
    </row>
    <row r="118" spans="2:21">
      <c r="B118" s="145" t="str">
        <f t="shared" si="17"/>
        <v/>
      </c>
      <c r="C118" s="495">
        <f>IF(D94="","-",+C117+1)</f>
        <v>2030</v>
      </c>
      <c r="D118" s="349">
        <f>IF(F117+SUM(E$100:E117)=D$93,F117,D$93-SUM(E$100:E117))</f>
        <v>0</v>
      </c>
      <c r="E118" s="509">
        <f>IF(+J97&lt;F117,J97,D118)</f>
        <v>0</v>
      </c>
      <c r="F118" s="510">
        <f t="shared" si="25"/>
        <v>0</v>
      </c>
      <c r="G118" s="510">
        <f t="shared" si="18"/>
        <v>0</v>
      </c>
      <c r="H118" s="523">
        <f t="shared" si="19"/>
        <v>0</v>
      </c>
      <c r="I118" s="572">
        <f t="shared" si="20"/>
        <v>0</v>
      </c>
      <c r="J118" s="504">
        <f t="shared" si="21"/>
        <v>0</v>
      </c>
      <c r="K118" s="504"/>
      <c r="L118" s="512"/>
      <c r="M118" s="504">
        <f t="shared" si="22"/>
        <v>0</v>
      </c>
      <c r="N118" s="512"/>
      <c r="O118" s="504">
        <f t="shared" si="23"/>
        <v>0</v>
      </c>
      <c r="P118" s="504">
        <f t="shared" si="24"/>
        <v>0</v>
      </c>
      <c r="Q118" s="243"/>
      <c r="R118" s="243"/>
      <c r="S118" s="243"/>
      <c r="T118" s="243"/>
      <c r="U118" s="243"/>
    </row>
    <row r="119" spans="2:21">
      <c r="B119" s="145" t="str">
        <f t="shared" si="17"/>
        <v/>
      </c>
      <c r="C119" s="495">
        <f>IF(D94="","-",+C118+1)</f>
        <v>2031</v>
      </c>
      <c r="D119" s="349">
        <f>IF(F118+SUM(E$100:E118)=D$93,F118,D$93-SUM(E$100:E118))</f>
        <v>0</v>
      </c>
      <c r="E119" s="509">
        <f>IF(+J97&lt;F118,J97,D119)</f>
        <v>0</v>
      </c>
      <c r="F119" s="510">
        <f t="shared" si="25"/>
        <v>0</v>
      </c>
      <c r="G119" s="510">
        <f t="shared" si="18"/>
        <v>0</v>
      </c>
      <c r="H119" s="523">
        <f t="shared" si="19"/>
        <v>0</v>
      </c>
      <c r="I119" s="572">
        <f t="shared" si="20"/>
        <v>0</v>
      </c>
      <c r="J119" s="504">
        <f t="shared" si="21"/>
        <v>0</v>
      </c>
      <c r="K119" s="504"/>
      <c r="L119" s="512"/>
      <c r="M119" s="504">
        <f t="shared" si="22"/>
        <v>0</v>
      </c>
      <c r="N119" s="512"/>
      <c r="O119" s="504">
        <f t="shared" si="23"/>
        <v>0</v>
      </c>
      <c r="P119" s="504">
        <f t="shared" si="24"/>
        <v>0</v>
      </c>
      <c r="Q119" s="243"/>
      <c r="R119" s="243"/>
      <c r="S119" s="243"/>
      <c r="T119" s="243"/>
      <c r="U119" s="243"/>
    </row>
    <row r="120" spans="2:21">
      <c r="B120" s="145" t="str">
        <f t="shared" si="17"/>
        <v/>
      </c>
      <c r="C120" s="495">
        <f>IF(D94="","-",+C119+1)</f>
        <v>2032</v>
      </c>
      <c r="D120" s="349">
        <f>IF(F119+SUM(E$100:E119)=D$93,F119,D$93-SUM(E$100:E119))</f>
        <v>0</v>
      </c>
      <c r="E120" s="509">
        <f>IF(+J97&lt;F119,J97,D120)</f>
        <v>0</v>
      </c>
      <c r="F120" s="510">
        <f t="shared" si="25"/>
        <v>0</v>
      </c>
      <c r="G120" s="510">
        <f t="shared" si="18"/>
        <v>0</v>
      </c>
      <c r="H120" s="523">
        <f t="shared" si="19"/>
        <v>0</v>
      </c>
      <c r="I120" s="572">
        <f t="shared" si="20"/>
        <v>0</v>
      </c>
      <c r="J120" s="504">
        <f t="shared" si="21"/>
        <v>0</v>
      </c>
      <c r="K120" s="504"/>
      <c r="L120" s="512"/>
      <c r="M120" s="504">
        <f t="shared" si="22"/>
        <v>0</v>
      </c>
      <c r="N120" s="512"/>
      <c r="O120" s="504">
        <f t="shared" si="23"/>
        <v>0</v>
      </c>
      <c r="P120" s="504">
        <f t="shared" si="24"/>
        <v>0</v>
      </c>
      <c r="Q120" s="243"/>
      <c r="R120" s="243"/>
      <c r="S120" s="243"/>
      <c r="T120" s="243"/>
      <c r="U120" s="243"/>
    </row>
    <row r="121" spans="2:21">
      <c r="B121" s="145" t="str">
        <f t="shared" si="17"/>
        <v/>
      </c>
      <c r="C121" s="495">
        <f>IF(D94="","-",+C120+1)</f>
        <v>2033</v>
      </c>
      <c r="D121" s="349">
        <f>IF(F120+SUM(E$100:E120)=D$93,F120,D$93-SUM(E$100:E120))</f>
        <v>0</v>
      </c>
      <c r="E121" s="509">
        <f>IF(+J97&lt;F120,J97,D121)</f>
        <v>0</v>
      </c>
      <c r="F121" s="510">
        <f t="shared" si="25"/>
        <v>0</v>
      </c>
      <c r="G121" s="510">
        <f t="shared" si="18"/>
        <v>0</v>
      </c>
      <c r="H121" s="523">
        <f t="shared" si="19"/>
        <v>0</v>
      </c>
      <c r="I121" s="572">
        <f t="shared" si="20"/>
        <v>0</v>
      </c>
      <c r="J121" s="504">
        <f t="shared" si="21"/>
        <v>0</v>
      </c>
      <c r="K121" s="504"/>
      <c r="L121" s="512"/>
      <c r="M121" s="504">
        <f t="shared" si="22"/>
        <v>0</v>
      </c>
      <c r="N121" s="512"/>
      <c r="O121" s="504">
        <f t="shared" si="23"/>
        <v>0</v>
      </c>
      <c r="P121" s="504">
        <f t="shared" si="24"/>
        <v>0</v>
      </c>
      <c r="Q121" s="243"/>
      <c r="R121" s="243"/>
      <c r="S121" s="243"/>
      <c r="T121" s="243"/>
      <c r="U121" s="243"/>
    </row>
    <row r="122" spans="2:21">
      <c r="B122" s="145" t="str">
        <f t="shared" si="17"/>
        <v/>
      </c>
      <c r="C122" s="495">
        <f>IF(D94="","-",+C121+1)</f>
        <v>2034</v>
      </c>
      <c r="D122" s="349">
        <f>IF(F121+SUM(E$100:E121)=D$93,F121,D$93-SUM(E$100:E121))</f>
        <v>0</v>
      </c>
      <c r="E122" s="509">
        <f>IF(+J97&lt;F121,J97,D122)</f>
        <v>0</v>
      </c>
      <c r="F122" s="510">
        <f t="shared" si="25"/>
        <v>0</v>
      </c>
      <c r="G122" s="510">
        <f t="shared" si="18"/>
        <v>0</v>
      </c>
      <c r="H122" s="523">
        <f t="shared" si="19"/>
        <v>0</v>
      </c>
      <c r="I122" s="572">
        <f t="shared" si="20"/>
        <v>0</v>
      </c>
      <c r="J122" s="504">
        <f t="shared" si="21"/>
        <v>0</v>
      </c>
      <c r="K122" s="504"/>
      <c r="L122" s="512"/>
      <c r="M122" s="504">
        <f t="shared" si="22"/>
        <v>0</v>
      </c>
      <c r="N122" s="512"/>
      <c r="O122" s="504">
        <f t="shared" si="23"/>
        <v>0</v>
      </c>
      <c r="P122" s="504">
        <f t="shared" si="24"/>
        <v>0</v>
      </c>
      <c r="Q122" s="243"/>
      <c r="R122" s="243"/>
      <c r="S122" s="243"/>
      <c r="T122" s="243"/>
      <c r="U122" s="243"/>
    </row>
    <row r="123" spans="2:21">
      <c r="B123" s="145" t="str">
        <f t="shared" si="17"/>
        <v/>
      </c>
      <c r="C123" s="495">
        <f>IF(D94="","-",+C122+1)</f>
        <v>2035</v>
      </c>
      <c r="D123" s="349">
        <f>IF(F122+SUM(E$100:E122)=D$93,F122,D$93-SUM(E$100:E122))</f>
        <v>0</v>
      </c>
      <c r="E123" s="509">
        <f>IF(+J97&lt;F122,J97,D123)</f>
        <v>0</v>
      </c>
      <c r="F123" s="510">
        <f t="shared" si="25"/>
        <v>0</v>
      </c>
      <c r="G123" s="510">
        <f t="shared" si="18"/>
        <v>0</v>
      </c>
      <c r="H123" s="523">
        <f t="shared" si="19"/>
        <v>0</v>
      </c>
      <c r="I123" s="572">
        <f t="shared" si="20"/>
        <v>0</v>
      </c>
      <c r="J123" s="504">
        <f t="shared" si="21"/>
        <v>0</v>
      </c>
      <c r="K123" s="504"/>
      <c r="L123" s="512"/>
      <c r="M123" s="504">
        <f t="shared" si="22"/>
        <v>0</v>
      </c>
      <c r="N123" s="512"/>
      <c r="O123" s="504">
        <f t="shared" si="23"/>
        <v>0</v>
      </c>
      <c r="P123" s="504">
        <f t="shared" si="24"/>
        <v>0</v>
      </c>
      <c r="Q123" s="243"/>
      <c r="R123" s="243"/>
      <c r="S123" s="243"/>
      <c r="T123" s="243"/>
      <c r="U123" s="243"/>
    </row>
    <row r="124" spans="2:21">
      <c r="B124" s="145" t="str">
        <f t="shared" si="17"/>
        <v/>
      </c>
      <c r="C124" s="495">
        <f>IF(D94="","-",+C123+1)</f>
        <v>2036</v>
      </c>
      <c r="D124" s="349">
        <f>IF(F123+SUM(E$100:E123)=D$93,F123,D$93-SUM(E$100:E123))</f>
        <v>0</v>
      </c>
      <c r="E124" s="509">
        <f>IF(+J97&lt;F123,J97,D124)</f>
        <v>0</v>
      </c>
      <c r="F124" s="510">
        <f t="shared" si="25"/>
        <v>0</v>
      </c>
      <c r="G124" s="510">
        <f t="shared" si="18"/>
        <v>0</v>
      </c>
      <c r="H124" s="523">
        <f t="shared" si="19"/>
        <v>0</v>
      </c>
      <c r="I124" s="572">
        <f t="shared" si="20"/>
        <v>0</v>
      </c>
      <c r="J124" s="504">
        <f t="shared" si="21"/>
        <v>0</v>
      </c>
      <c r="K124" s="504"/>
      <c r="L124" s="512"/>
      <c r="M124" s="504">
        <f t="shared" si="22"/>
        <v>0</v>
      </c>
      <c r="N124" s="512"/>
      <c r="O124" s="504">
        <f t="shared" si="23"/>
        <v>0</v>
      </c>
      <c r="P124" s="504">
        <f t="shared" si="24"/>
        <v>0</v>
      </c>
      <c r="Q124" s="243"/>
      <c r="R124" s="243"/>
      <c r="S124" s="243"/>
      <c r="T124" s="243"/>
      <c r="U124" s="243"/>
    </row>
    <row r="125" spans="2:21">
      <c r="B125" s="145" t="str">
        <f t="shared" si="17"/>
        <v/>
      </c>
      <c r="C125" s="495">
        <f>IF(D94="","-",+C124+1)</f>
        <v>2037</v>
      </c>
      <c r="D125" s="349">
        <f>IF(F124+SUM(E$100:E124)=D$93,F124,D$93-SUM(E$100:E124))</f>
        <v>0</v>
      </c>
      <c r="E125" s="509">
        <f>IF(+J97&lt;F124,J97,D125)</f>
        <v>0</v>
      </c>
      <c r="F125" s="510">
        <f t="shared" si="25"/>
        <v>0</v>
      </c>
      <c r="G125" s="510">
        <f t="shared" si="18"/>
        <v>0</v>
      </c>
      <c r="H125" s="523">
        <f t="shared" si="19"/>
        <v>0</v>
      </c>
      <c r="I125" s="572">
        <f t="shared" si="20"/>
        <v>0</v>
      </c>
      <c r="J125" s="504">
        <f t="shared" si="21"/>
        <v>0</v>
      </c>
      <c r="K125" s="504"/>
      <c r="L125" s="512"/>
      <c r="M125" s="504">
        <f t="shared" si="22"/>
        <v>0</v>
      </c>
      <c r="N125" s="512"/>
      <c r="O125" s="504">
        <f t="shared" si="23"/>
        <v>0</v>
      </c>
      <c r="P125" s="504">
        <f t="shared" si="24"/>
        <v>0</v>
      </c>
      <c r="Q125" s="243"/>
      <c r="R125" s="243"/>
      <c r="S125" s="243"/>
      <c r="T125" s="243"/>
      <c r="U125" s="243"/>
    </row>
    <row r="126" spans="2:21">
      <c r="B126" s="145" t="str">
        <f t="shared" si="17"/>
        <v/>
      </c>
      <c r="C126" s="495">
        <f>IF(D94="","-",+C125+1)</f>
        <v>2038</v>
      </c>
      <c r="D126" s="349">
        <f>IF(F125+SUM(E$100:E125)=D$93,F125,D$93-SUM(E$100:E125))</f>
        <v>0</v>
      </c>
      <c r="E126" s="509">
        <f>IF(+J97&lt;F125,J97,D126)</f>
        <v>0</v>
      </c>
      <c r="F126" s="510">
        <f t="shared" si="25"/>
        <v>0</v>
      </c>
      <c r="G126" s="510">
        <f t="shared" si="18"/>
        <v>0</v>
      </c>
      <c r="H126" s="523">
        <f t="shared" si="19"/>
        <v>0</v>
      </c>
      <c r="I126" s="572">
        <f t="shared" si="20"/>
        <v>0</v>
      </c>
      <c r="J126" s="504">
        <f t="shared" si="21"/>
        <v>0</v>
      </c>
      <c r="K126" s="504"/>
      <c r="L126" s="512"/>
      <c r="M126" s="504">
        <f t="shared" si="22"/>
        <v>0</v>
      </c>
      <c r="N126" s="512"/>
      <c r="O126" s="504">
        <f t="shared" si="23"/>
        <v>0</v>
      </c>
      <c r="P126" s="504">
        <f t="shared" si="24"/>
        <v>0</v>
      </c>
      <c r="Q126" s="243"/>
      <c r="R126" s="243"/>
      <c r="S126" s="243"/>
      <c r="T126" s="243"/>
      <c r="U126" s="243"/>
    </row>
    <row r="127" spans="2:21">
      <c r="B127" s="145" t="str">
        <f t="shared" si="17"/>
        <v/>
      </c>
      <c r="C127" s="495">
        <f>IF(D94="","-",+C126+1)</f>
        <v>2039</v>
      </c>
      <c r="D127" s="349">
        <f>IF(F126+SUM(E$100:E126)=D$93,F126,D$93-SUM(E$100:E126))</f>
        <v>0</v>
      </c>
      <c r="E127" s="509">
        <f>IF(+J97&lt;F126,J97,D127)</f>
        <v>0</v>
      </c>
      <c r="F127" s="510">
        <f t="shared" si="25"/>
        <v>0</v>
      </c>
      <c r="G127" s="510">
        <f t="shared" si="18"/>
        <v>0</v>
      </c>
      <c r="H127" s="523">
        <f t="shared" si="19"/>
        <v>0</v>
      </c>
      <c r="I127" s="572">
        <f t="shared" si="20"/>
        <v>0</v>
      </c>
      <c r="J127" s="504">
        <f t="shared" si="21"/>
        <v>0</v>
      </c>
      <c r="K127" s="504"/>
      <c r="L127" s="512"/>
      <c r="M127" s="504">
        <f t="shared" si="22"/>
        <v>0</v>
      </c>
      <c r="N127" s="512"/>
      <c r="O127" s="504">
        <f t="shared" si="23"/>
        <v>0</v>
      </c>
      <c r="P127" s="504">
        <f t="shared" si="24"/>
        <v>0</v>
      </c>
      <c r="Q127" s="243"/>
      <c r="R127" s="243"/>
      <c r="S127" s="243"/>
      <c r="T127" s="243"/>
      <c r="U127" s="243"/>
    </row>
    <row r="128" spans="2:21">
      <c r="B128" s="145" t="str">
        <f t="shared" si="17"/>
        <v/>
      </c>
      <c r="C128" s="495">
        <f>IF(D94="","-",+C127+1)</f>
        <v>2040</v>
      </c>
      <c r="D128" s="349">
        <f>IF(F127+SUM(E$100:E127)=D$93,F127,D$93-SUM(E$100:E127))</f>
        <v>0</v>
      </c>
      <c r="E128" s="509">
        <f>IF(+J97&lt;F127,J97,D128)</f>
        <v>0</v>
      </c>
      <c r="F128" s="510">
        <f t="shared" si="25"/>
        <v>0</v>
      </c>
      <c r="G128" s="510">
        <f t="shared" si="18"/>
        <v>0</v>
      </c>
      <c r="H128" s="523">
        <f t="shared" si="19"/>
        <v>0</v>
      </c>
      <c r="I128" s="572">
        <f t="shared" si="20"/>
        <v>0</v>
      </c>
      <c r="J128" s="504">
        <f t="shared" si="21"/>
        <v>0</v>
      </c>
      <c r="K128" s="504"/>
      <c r="L128" s="512"/>
      <c r="M128" s="504">
        <f t="shared" si="22"/>
        <v>0</v>
      </c>
      <c r="N128" s="512"/>
      <c r="O128" s="504">
        <f t="shared" si="23"/>
        <v>0</v>
      </c>
      <c r="P128" s="504">
        <f t="shared" si="24"/>
        <v>0</v>
      </c>
      <c r="Q128" s="243"/>
      <c r="R128" s="243"/>
      <c r="S128" s="243"/>
      <c r="T128" s="243"/>
      <c r="U128" s="243"/>
    </row>
    <row r="129" spans="2:21">
      <c r="B129" s="145" t="str">
        <f t="shared" si="17"/>
        <v/>
      </c>
      <c r="C129" s="495">
        <f>IF(D94="","-",+C128+1)</f>
        <v>2041</v>
      </c>
      <c r="D129" s="349">
        <f>IF(F128+SUM(E$100:E128)=D$93,F128,D$93-SUM(E$100:E128))</f>
        <v>0</v>
      </c>
      <c r="E129" s="509">
        <f>IF(+J97&lt;F128,J97,D129)</f>
        <v>0</v>
      </c>
      <c r="F129" s="510">
        <f t="shared" si="25"/>
        <v>0</v>
      </c>
      <c r="G129" s="510">
        <f t="shared" si="18"/>
        <v>0</v>
      </c>
      <c r="H129" s="523">
        <f t="shared" si="19"/>
        <v>0</v>
      </c>
      <c r="I129" s="572">
        <f t="shared" si="20"/>
        <v>0</v>
      </c>
      <c r="J129" s="504">
        <f t="shared" si="21"/>
        <v>0</v>
      </c>
      <c r="K129" s="504"/>
      <c r="L129" s="512"/>
      <c r="M129" s="504">
        <f t="shared" si="22"/>
        <v>0</v>
      </c>
      <c r="N129" s="512"/>
      <c r="O129" s="504">
        <f t="shared" si="23"/>
        <v>0</v>
      </c>
      <c r="P129" s="504">
        <f t="shared" si="24"/>
        <v>0</v>
      </c>
      <c r="Q129" s="243"/>
      <c r="R129" s="243"/>
      <c r="S129" s="243"/>
      <c r="T129" s="243"/>
      <c r="U129" s="243"/>
    </row>
    <row r="130" spans="2:21">
      <c r="B130" s="145" t="str">
        <f t="shared" si="17"/>
        <v/>
      </c>
      <c r="C130" s="495">
        <f>IF(D94="","-",+C129+1)</f>
        <v>2042</v>
      </c>
      <c r="D130" s="349">
        <f>IF(F129+SUM(E$100:E129)=D$93,F129,D$93-SUM(E$100:E129))</f>
        <v>0</v>
      </c>
      <c r="E130" s="509">
        <f>IF(+J97&lt;F129,J97,D130)</f>
        <v>0</v>
      </c>
      <c r="F130" s="510">
        <f t="shared" si="25"/>
        <v>0</v>
      </c>
      <c r="G130" s="510">
        <f t="shared" si="18"/>
        <v>0</v>
      </c>
      <c r="H130" s="523">
        <f t="shared" si="19"/>
        <v>0</v>
      </c>
      <c r="I130" s="572">
        <f t="shared" si="20"/>
        <v>0</v>
      </c>
      <c r="J130" s="504">
        <f t="shared" si="21"/>
        <v>0</v>
      </c>
      <c r="K130" s="504"/>
      <c r="L130" s="512"/>
      <c r="M130" s="504">
        <f t="shared" si="22"/>
        <v>0</v>
      </c>
      <c r="N130" s="512"/>
      <c r="O130" s="504">
        <f t="shared" si="23"/>
        <v>0</v>
      </c>
      <c r="P130" s="504">
        <f t="shared" si="24"/>
        <v>0</v>
      </c>
      <c r="Q130" s="243"/>
      <c r="R130" s="243"/>
      <c r="S130" s="243"/>
      <c r="T130" s="243"/>
      <c r="U130" s="243"/>
    </row>
    <row r="131" spans="2:21">
      <c r="B131" s="145" t="str">
        <f t="shared" si="17"/>
        <v/>
      </c>
      <c r="C131" s="495">
        <f>IF(D94="","-",+C130+1)</f>
        <v>2043</v>
      </c>
      <c r="D131" s="349">
        <f>IF(F130+SUM(E$100:E130)=D$93,F130,D$93-SUM(E$100:E130))</f>
        <v>0</v>
      </c>
      <c r="E131" s="509">
        <f>IF(+J97&lt;F130,J97,D131)</f>
        <v>0</v>
      </c>
      <c r="F131" s="510">
        <f t="shared" si="25"/>
        <v>0</v>
      </c>
      <c r="G131" s="510">
        <f t="shared" si="18"/>
        <v>0</v>
      </c>
      <c r="H131" s="523">
        <f t="shared" si="19"/>
        <v>0</v>
      </c>
      <c r="I131" s="572">
        <f t="shared" si="20"/>
        <v>0</v>
      </c>
      <c r="J131" s="504">
        <f t="shared" si="21"/>
        <v>0</v>
      </c>
      <c r="K131" s="504"/>
      <c r="L131" s="512"/>
      <c r="M131" s="504">
        <f t="shared" si="22"/>
        <v>0</v>
      </c>
      <c r="N131" s="512"/>
      <c r="O131" s="504">
        <f t="shared" si="23"/>
        <v>0</v>
      </c>
      <c r="P131" s="504">
        <f t="shared" si="24"/>
        <v>0</v>
      </c>
      <c r="Q131" s="243"/>
      <c r="R131" s="243"/>
      <c r="S131" s="243"/>
      <c r="T131" s="243"/>
      <c r="U131" s="243"/>
    </row>
    <row r="132" spans="2:21">
      <c r="B132" s="145" t="str">
        <f t="shared" ref="B132:B155" si="26">IF(D132=F131,"","IU")</f>
        <v/>
      </c>
      <c r="C132" s="495">
        <f>IF(D94="","-",+C131+1)</f>
        <v>2044</v>
      </c>
      <c r="D132" s="349">
        <f>IF(F131+SUM(E$100:E131)=D$93,F131,D$93-SUM(E$100:E131))</f>
        <v>0</v>
      </c>
      <c r="E132" s="509">
        <f>IF(+J97&lt;F131,J97,D132)</f>
        <v>0</v>
      </c>
      <c r="F132" s="510">
        <f t="shared" si="25"/>
        <v>0</v>
      </c>
      <c r="G132" s="510">
        <f t="shared" ref="G132:G155" si="27">+(F132+D132)/2</f>
        <v>0</v>
      </c>
      <c r="H132" s="523">
        <f t="shared" ref="H132:H155" si="28">+J$95*G132+E132</f>
        <v>0</v>
      </c>
      <c r="I132" s="572">
        <f t="shared" ref="I132:I155" si="29">+J$96*G132+E132</f>
        <v>0</v>
      </c>
      <c r="J132" s="504">
        <f t="shared" ref="J132:J155" si="30">+I132-H132</f>
        <v>0</v>
      </c>
      <c r="K132" s="504"/>
      <c r="L132" s="512"/>
      <c r="M132" s="504">
        <f t="shared" ref="M132:M155" si="31">IF(L132&lt;&gt;0,+H132-L132,0)</f>
        <v>0</v>
      </c>
      <c r="N132" s="512"/>
      <c r="O132" s="504">
        <f t="shared" ref="O132:O155" si="32">IF(N132&lt;&gt;0,+I132-N132,0)</f>
        <v>0</v>
      </c>
      <c r="P132" s="504">
        <f t="shared" ref="P132:P155" si="33">+O132-M132</f>
        <v>0</v>
      </c>
      <c r="Q132" s="243"/>
      <c r="R132" s="243"/>
      <c r="S132" s="243"/>
      <c r="T132" s="243"/>
      <c r="U132" s="243"/>
    </row>
    <row r="133" spans="2:21">
      <c r="B133" s="145" t="str">
        <f t="shared" si="26"/>
        <v/>
      </c>
      <c r="C133" s="495">
        <f>IF(D94="","-",+C132+1)</f>
        <v>2045</v>
      </c>
      <c r="D133" s="349">
        <f>IF(F132+SUM(E$100:E132)=D$93,F132,D$93-SUM(E$100:E132))</f>
        <v>0</v>
      </c>
      <c r="E133" s="509">
        <f>IF(+J97&lt;F132,J97,D133)</f>
        <v>0</v>
      </c>
      <c r="F133" s="510">
        <f t="shared" ref="F133:F155" si="34">+D133-E133</f>
        <v>0</v>
      </c>
      <c r="G133" s="510">
        <f t="shared" si="27"/>
        <v>0</v>
      </c>
      <c r="H133" s="523">
        <f t="shared" si="28"/>
        <v>0</v>
      </c>
      <c r="I133" s="572">
        <f t="shared" si="29"/>
        <v>0</v>
      </c>
      <c r="J133" s="504">
        <f t="shared" si="30"/>
        <v>0</v>
      </c>
      <c r="K133" s="504"/>
      <c r="L133" s="512"/>
      <c r="M133" s="504">
        <f t="shared" si="31"/>
        <v>0</v>
      </c>
      <c r="N133" s="512"/>
      <c r="O133" s="504">
        <f t="shared" si="32"/>
        <v>0</v>
      </c>
      <c r="P133" s="504">
        <f t="shared" si="33"/>
        <v>0</v>
      </c>
      <c r="Q133" s="243"/>
      <c r="R133" s="243"/>
      <c r="S133" s="243"/>
      <c r="T133" s="243"/>
      <c r="U133" s="243"/>
    </row>
    <row r="134" spans="2:21">
      <c r="B134" s="145" t="str">
        <f t="shared" si="26"/>
        <v/>
      </c>
      <c r="C134" s="495">
        <f>IF(D94="","-",+C133+1)</f>
        <v>2046</v>
      </c>
      <c r="D134" s="349">
        <f>IF(F133+SUM(E$100:E133)=D$93,F133,D$93-SUM(E$100:E133))</f>
        <v>0</v>
      </c>
      <c r="E134" s="509">
        <f>IF(+J97&lt;F133,J97,D134)</f>
        <v>0</v>
      </c>
      <c r="F134" s="510">
        <f t="shared" si="34"/>
        <v>0</v>
      </c>
      <c r="G134" s="510">
        <f t="shared" si="27"/>
        <v>0</v>
      </c>
      <c r="H134" s="523">
        <f t="shared" si="28"/>
        <v>0</v>
      </c>
      <c r="I134" s="572">
        <f t="shared" si="29"/>
        <v>0</v>
      </c>
      <c r="J134" s="504">
        <f t="shared" si="30"/>
        <v>0</v>
      </c>
      <c r="K134" s="504"/>
      <c r="L134" s="512"/>
      <c r="M134" s="504">
        <f t="shared" si="31"/>
        <v>0</v>
      </c>
      <c r="N134" s="512"/>
      <c r="O134" s="504">
        <f t="shared" si="32"/>
        <v>0</v>
      </c>
      <c r="P134" s="504">
        <f t="shared" si="33"/>
        <v>0</v>
      </c>
      <c r="Q134" s="243"/>
      <c r="R134" s="243"/>
      <c r="S134" s="243"/>
      <c r="T134" s="243"/>
      <c r="U134" s="243"/>
    </row>
    <row r="135" spans="2:21">
      <c r="B135" s="145" t="str">
        <f t="shared" si="26"/>
        <v/>
      </c>
      <c r="C135" s="495">
        <f>IF(D94="","-",+C134+1)</f>
        <v>2047</v>
      </c>
      <c r="D135" s="349">
        <f>IF(F134+SUM(E$100:E134)=D$93,F134,D$93-SUM(E$100:E134))</f>
        <v>0</v>
      </c>
      <c r="E135" s="509">
        <f>IF(+J97&lt;F134,J97,D135)</f>
        <v>0</v>
      </c>
      <c r="F135" s="510">
        <f t="shared" si="34"/>
        <v>0</v>
      </c>
      <c r="G135" s="510">
        <f t="shared" si="27"/>
        <v>0</v>
      </c>
      <c r="H135" s="523">
        <f t="shared" si="28"/>
        <v>0</v>
      </c>
      <c r="I135" s="572">
        <f t="shared" si="29"/>
        <v>0</v>
      </c>
      <c r="J135" s="504">
        <f t="shared" si="30"/>
        <v>0</v>
      </c>
      <c r="K135" s="504"/>
      <c r="L135" s="512"/>
      <c r="M135" s="504">
        <f t="shared" si="31"/>
        <v>0</v>
      </c>
      <c r="N135" s="512"/>
      <c r="O135" s="504">
        <f t="shared" si="32"/>
        <v>0</v>
      </c>
      <c r="P135" s="504">
        <f t="shared" si="33"/>
        <v>0</v>
      </c>
      <c r="Q135" s="243"/>
      <c r="R135" s="243"/>
      <c r="S135" s="243"/>
      <c r="T135" s="243"/>
      <c r="U135" s="243"/>
    </row>
    <row r="136" spans="2:21">
      <c r="B136" s="145" t="str">
        <f t="shared" si="26"/>
        <v/>
      </c>
      <c r="C136" s="495">
        <f>IF(D94="","-",+C135+1)</f>
        <v>2048</v>
      </c>
      <c r="D136" s="349">
        <f>IF(F135+SUM(E$100:E135)=D$93,F135,D$93-SUM(E$100:E135))</f>
        <v>0</v>
      </c>
      <c r="E136" s="509">
        <f>IF(+J97&lt;F135,J97,D136)</f>
        <v>0</v>
      </c>
      <c r="F136" s="510">
        <f t="shared" si="34"/>
        <v>0</v>
      </c>
      <c r="G136" s="510">
        <f t="shared" si="27"/>
        <v>0</v>
      </c>
      <c r="H136" s="523">
        <f t="shared" si="28"/>
        <v>0</v>
      </c>
      <c r="I136" s="572">
        <f t="shared" si="29"/>
        <v>0</v>
      </c>
      <c r="J136" s="504">
        <f t="shared" si="30"/>
        <v>0</v>
      </c>
      <c r="K136" s="504"/>
      <c r="L136" s="512"/>
      <c r="M136" s="504">
        <f t="shared" si="31"/>
        <v>0</v>
      </c>
      <c r="N136" s="512"/>
      <c r="O136" s="504">
        <f t="shared" si="32"/>
        <v>0</v>
      </c>
      <c r="P136" s="504">
        <f t="shared" si="33"/>
        <v>0</v>
      </c>
      <c r="Q136" s="243"/>
      <c r="R136" s="243"/>
      <c r="S136" s="243"/>
      <c r="T136" s="243"/>
      <c r="U136" s="243"/>
    </row>
    <row r="137" spans="2:21">
      <c r="B137" s="145" t="str">
        <f t="shared" si="26"/>
        <v/>
      </c>
      <c r="C137" s="495">
        <f>IF(D94="","-",+C136+1)</f>
        <v>2049</v>
      </c>
      <c r="D137" s="349">
        <f>IF(F136+SUM(E$100:E136)=D$93,F136,D$93-SUM(E$100:E136))</f>
        <v>0</v>
      </c>
      <c r="E137" s="509">
        <f>IF(+J97&lt;F136,J97,D137)</f>
        <v>0</v>
      </c>
      <c r="F137" s="510">
        <f t="shared" si="34"/>
        <v>0</v>
      </c>
      <c r="G137" s="510">
        <f t="shared" si="27"/>
        <v>0</v>
      </c>
      <c r="H137" s="523">
        <f t="shared" si="28"/>
        <v>0</v>
      </c>
      <c r="I137" s="572">
        <f t="shared" si="29"/>
        <v>0</v>
      </c>
      <c r="J137" s="504">
        <f t="shared" si="30"/>
        <v>0</v>
      </c>
      <c r="K137" s="504"/>
      <c r="L137" s="512"/>
      <c r="M137" s="504">
        <f t="shared" si="31"/>
        <v>0</v>
      </c>
      <c r="N137" s="512"/>
      <c r="O137" s="504">
        <f t="shared" si="32"/>
        <v>0</v>
      </c>
      <c r="P137" s="504">
        <f t="shared" si="33"/>
        <v>0</v>
      </c>
      <c r="Q137" s="243"/>
      <c r="R137" s="243"/>
      <c r="S137" s="243"/>
      <c r="T137" s="243"/>
      <c r="U137" s="243"/>
    </row>
    <row r="138" spans="2:21">
      <c r="B138" s="145" t="str">
        <f t="shared" si="26"/>
        <v/>
      </c>
      <c r="C138" s="495">
        <f>IF(D94="","-",+C137+1)</f>
        <v>2050</v>
      </c>
      <c r="D138" s="349">
        <f>IF(F137+SUM(E$100:E137)=D$93,F137,D$93-SUM(E$100:E137))</f>
        <v>0</v>
      </c>
      <c r="E138" s="509">
        <f>IF(+J97&lt;F137,J97,D138)</f>
        <v>0</v>
      </c>
      <c r="F138" s="510">
        <f t="shared" si="34"/>
        <v>0</v>
      </c>
      <c r="G138" s="510">
        <f t="shared" si="27"/>
        <v>0</v>
      </c>
      <c r="H138" s="523">
        <f t="shared" si="28"/>
        <v>0</v>
      </c>
      <c r="I138" s="572">
        <f t="shared" si="29"/>
        <v>0</v>
      </c>
      <c r="J138" s="504">
        <f t="shared" si="30"/>
        <v>0</v>
      </c>
      <c r="K138" s="504"/>
      <c r="L138" s="512"/>
      <c r="M138" s="504">
        <f t="shared" si="31"/>
        <v>0</v>
      </c>
      <c r="N138" s="512"/>
      <c r="O138" s="504">
        <f t="shared" si="32"/>
        <v>0</v>
      </c>
      <c r="P138" s="504">
        <f t="shared" si="33"/>
        <v>0</v>
      </c>
      <c r="Q138" s="243"/>
      <c r="R138" s="243"/>
      <c r="S138" s="243"/>
      <c r="T138" s="243"/>
      <c r="U138" s="243"/>
    </row>
    <row r="139" spans="2:21">
      <c r="B139" s="145" t="str">
        <f t="shared" si="26"/>
        <v/>
      </c>
      <c r="C139" s="495">
        <f>IF(D94="","-",+C138+1)</f>
        <v>2051</v>
      </c>
      <c r="D139" s="349">
        <f>IF(F138+SUM(E$100:E138)=D$93,F138,D$93-SUM(E$100:E138))</f>
        <v>0</v>
      </c>
      <c r="E139" s="509">
        <f>IF(+J97&lt;F138,J97,D139)</f>
        <v>0</v>
      </c>
      <c r="F139" s="510">
        <f t="shared" si="34"/>
        <v>0</v>
      </c>
      <c r="G139" s="510">
        <f t="shared" si="27"/>
        <v>0</v>
      </c>
      <c r="H139" s="523">
        <f t="shared" si="28"/>
        <v>0</v>
      </c>
      <c r="I139" s="572">
        <f t="shared" si="29"/>
        <v>0</v>
      </c>
      <c r="J139" s="504">
        <f t="shared" si="30"/>
        <v>0</v>
      </c>
      <c r="K139" s="504"/>
      <c r="L139" s="512"/>
      <c r="M139" s="504">
        <f t="shared" si="31"/>
        <v>0</v>
      </c>
      <c r="N139" s="512"/>
      <c r="O139" s="504">
        <f t="shared" si="32"/>
        <v>0</v>
      </c>
      <c r="P139" s="504">
        <f t="shared" si="33"/>
        <v>0</v>
      </c>
      <c r="Q139" s="243"/>
      <c r="R139" s="243"/>
      <c r="S139" s="243"/>
      <c r="T139" s="243"/>
      <c r="U139" s="243"/>
    </row>
    <row r="140" spans="2:21">
      <c r="B140" s="145" t="str">
        <f t="shared" si="26"/>
        <v/>
      </c>
      <c r="C140" s="495">
        <f>IF(D94="","-",+C139+1)</f>
        <v>2052</v>
      </c>
      <c r="D140" s="349">
        <f>IF(F139+SUM(E$100:E139)=D$93,F139,D$93-SUM(E$100:E139))</f>
        <v>0</v>
      </c>
      <c r="E140" s="509">
        <f>IF(+J97&lt;F139,J97,D140)</f>
        <v>0</v>
      </c>
      <c r="F140" s="510">
        <f t="shared" si="34"/>
        <v>0</v>
      </c>
      <c r="G140" s="510">
        <f t="shared" si="27"/>
        <v>0</v>
      </c>
      <c r="H140" s="523">
        <f t="shared" si="28"/>
        <v>0</v>
      </c>
      <c r="I140" s="572">
        <f t="shared" si="29"/>
        <v>0</v>
      </c>
      <c r="J140" s="504">
        <f t="shared" si="30"/>
        <v>0</v>
      </c>
      <c r="K140" s="504"/>
      <c r="L140" s="512"/>
      <c r="M140" s="504">
        <f t="shared" si="31"/>
        <v>0</v>
      </c>
      <c r="N140" s="512"/>
      <c r="O140" s="504">
        <f t="shared" si="32"/>
        <v>0</v>
      </c>
      <c r="P140" s="504">
        <f t="shared" si="33"/>
        <v>0</v>
      </c>
      <c r="Q140" s="243"/>
      <c r="R140" s="243"/>
      <c r="S140" s="243"/>
      <c r="T140" s="243"/>
      <c r="U140" s="243"/>
    </row>
    <row r="141" spans="2:21">
      <c r="B141" s="145" t="str">
        <f t="shared" si="26"/>
        <v/>
      </c>
      <c r="C141" s="495">
        <f>IF(D94="","-",+C140+1)</f>
        <v>2053</v>
      </c>
      <c r="D141" s="349">
        <f>IF(F140+SUM(E$100:E140)=D$93,F140,D$93-SUM(E$100:E140))</f>
        <v>0</v>
      </c>
      <c r="E141" s="509">
        <f>IF(+J97&lt;F140,J97,D141)</f>
        <v>0</v>
      </c>
      <c r="F141" s="510">
        <f t="shared" si="34"/>
        <v>0</v>
      </c>
      <c r="G141" s="510">
        <f t="shared" si="27"/>
        <v>0</v>
      </c>
      <c r="H141" s="523">
        <f t="shared" si="28"/>
        <v>0</v>
      </c>
      <c r="I141" s="572">
        <f t="shared" si="29"/>
        <v>0</v>
      </c>
      <c r="J141" s="504">
        <f t="shared" si="30"/>
        <v>0</v>
      </c>
      <c r="K141" s="504"/>
      <c r="L141" s="512"/>
      <c r="M141" s="504">
        <f t="shared" si="31"/>
        <v>0</v>
      </c>
      <c r="N141" s="512"/>
      <c r="O141" s="504">
        <f t="shared" si="32"/>
        <v>0</v>
      </c>
      <c r="P141" s="504">
        <f t="shared" si="33"/>
        <v>0</v>
      </c>
      <c r="Q141" s="243"/>
      <c r="R141" s="243"/>
      <c r="S141" s="243"/>
      <c r="T141" s="243"/>
      <c r="U141" s="243"/>
    </row>
    <row r="142" spans="2:21">
      <c r="B142" s="145" t="str">
        <f t="shared" si="26"/>
        <v/>
      </c>
      <c r="C142" s="495">
        <f>IF(D94="","-",+C141+1)</f>
        <v>2054</v>
      </c>
      <c r="D142" s="349">
        <f>IF(F141+SUM(E$100:E141)=D$93,F141,D$93-SUM(E$100:E141))</f>
        <v>0</v>
      </c>
      <c r="E142" s="509">
        <f>IF(+J97&lt;F141,J97,D142)</f>
        <v>0</v>
      </c>
      <c r="F142" s="510">
        <f t="shared" si="34"/>
        <v>0</v>
      </c>
      <c r="G142" s="510">
        <f t="shared" si="27"/>
        <v>0</v>
      </c>
      <c r="H142" s="523">
        <f t="shared" si="28"/>
        <v>0</v>
      </c>
      <c r="I142" s="572">
        <f t="shared" si="29"/>
        <v>0</v>
      </c>
      <c r="J142" s="504">
        <f t="shared" si="30"/>
        <v>0</v>
      </c>
      <c r="K142" s="504"/>
      <c r="L142" s="512"/>
      <c r="M142" s="504">
        <f t="shared" si="31"/>
        <v>0</v>
      </c>
      <c r="N142" s="512"/>
      <c r="O142" s="504">
        <f t="shared" si="32"/>
        <v>0</v>
      </c>
      <c r="P142" s="504">
        <f t="shared" si="33"/>
        <v>0</v>
      </c>
      <c r="Q142" s="243"/>
      <c r="R142" s="243"/>
      <c r="S142" s="243"/>
      <c r="T142" s="243"/>
      <c r="U142" s="243"/>
    </row>
    <row r="143" spans="2:21">
      <c r="B143" s="145" t="str">
        <f t="shared" si="26"/>
        <v/>
      </c>
      <c r="C143" s="495">
        <f>IF(D94="","-",+C142+1)</f>
        <v>2055</v>
      </c>
      <c r="D143" s="349">
        <f>IF(F142+SUM(E$100:E142)=D$93,F142,D$93-SUM(E$100:E142))</f>
        <v>0</v>
      </c>
      <c r="E143" s="509">
        <f>IF(+J97&lt;F142,J97,D143)</f>
        <v>0</v>
      </c>
      <c r="F143" s="510">
        <f t="shared" si="34"/>
        <v>0</v>
      </c>
      <c r="G143" s="510">
        <f t="shared" si="27"/>
        <v>0</v>
      </c>
      <c r="H143" s="523">
        <f t="shared" si="28"/>
        <v>0</v>
      </c>
      <c r="I143" s="572">
        <f t="shared" si="29"/>
        <v>0</v>
      </c>
      <c r="J143" s="504">
        <f t="shared" si="30"/>
        <v>0</v>
      </c>
      <c r="K143" s="504"/>
      <c r="L143" s="512"/>
      <c r="M143" s="504">
        <f t="shared" si="31"/>
        <v>0</v>
      </c>
      <c r="N143" s="512"/>
      <c r="O143" s="504">
        <f t="shared" si="32"/>
        <v>0</v>
      </c>
      <c r="P143" s="504">
        <f t="shared" si="33"/>
        <v>0</v>
      </c>
      <c r="Q143" s="243"/>
      <c r="R143" s="243"/>
      <c r="S143" s="243"/>
      <c r="T143" s="243"/>
      <c r="U143" s="243"/>
    </row>
    <row r="144" spans="2:21">
      <c r="B144" s="145" t="str">
        <f t="shared" si="26"/>
        <v/>
      </c>
      <c r="C144" s="495">
        <f>IF(D94="","-",+C143+1)</f>
        <v>2056</v>
      </c>
      <c r="D144" s="349">
        <f>IF(F143+SUM(E$100:E143)=D$93,F143,D$93-SUM(E$100:E143))</f>
        <v>0</v>
      </c>
      <c r="E144" s="509">
        <f>IF(+J97&lt;F143,J97,D144)</f>
        <v>0</v>
      </c>
      <c r="F144" s="510">
        <f t="shared" si="34"/>
        <v>0</v>
      </c>
      <c r="G144" s="510">
        <f t="shared" si="27"/>
        <v>0</v>
      </c>
      <c r="H144" s="523">
        <f t="shared" si="28"/>
        <v>0</v>
      </c>
      <c r="I144" s="572">
        <f t="shared" si="29"/>
        <v>0</v>
      </c>
      <c r="J144" s="504">
        <f t="shared" si="30"/>
        <v>0</v>
      </c>
      <c r="K144" s="504"/>
      <c r="L144" s="512"/>
      <c r="M144" s="504">
        <f t="shared" si="31"/>
        <v>0</v>
      </c>
      <c r="N144" s="512"/>
      <c r="O144" s="504">
        <f t="shared" si="32"/>
        <v>0</v>
      </c>
      <c r="P144" s="504">
        <f t="shared" si="33"/>
        <v>0</v>
      </c>
      <c r="Q144" s="243"/>
      <c r="R144" s="243"/>
      <c r="S144" s="243"/>
      <c r="T144" s="243"/>
      <c r="U144" s="243"/>
    </row>
    <row r="145" spans="2:21">
      <c r="B145" s="145" t="str">
        <f t="shared" si="26"/>
        <v/>
      </c>
      <c r="C145" s="495">
        <f>IF(D94="","-",+C144+1)</f>
        <v>2057</v>
      </c>
      <c r="D145" s="349">
        <f>IF(F144+SUM(E$100:E144)=D$93,F144,D$93-SUM(E$100:E144))</f>
        <v>0</v>
      </c>
      <c r="E145" s="509">
        <f>IF(+J97&lt;F144,J97,D145)</f>
        <v>0</v>
      </c>
      <c r="F145" s="510">
        <f t="shared" si="34"/>
        <v>0</v>
      </c>
      <c r="G145" s="510">
        <f t="shared" si="27"/>
        <v>0</v>
      </c>
      <c r="H145" s="523">
        <f t="shared" si="28"/>
        <v>0</v>
      </c>
      <c r="I145" s="572">
        <f t="shared" si="29"/>
        <v>0</v>
      </c>
      <c r="J145" s="504">
        <f t="shared" si="30"/>
        <v>0</v>
      </c>
      <c r="K145" s="504"/>
      <c r="L145" s="512"/>
      <c r="M145" s="504">
        <f t="shared" si="31"/>
        <v>0</v>
      </c>
      <c r="N145" s="512"/>
      <c r="O145" s="504">
        <f t="shared" si="32"/>
        <v>0</v>
      </c>
      <c r="P145" s="504">
        <f t="shared" si="33"/>
        <v>0</v>
      </c>
      <c r="Q145" s="243"/>
      <c r="R145" s="243"/>
      <c r="S145" s="243"/>
      <c r="T145" s="243"/>
      <c r="U145" s="243"/>
    </row>
    <row r="146" spans="2:21">
      <c r="B146" s="145" t="str">
        <f t="shared" si="26"/>
        <v/>
      </c>
      <c r="C146" s="495">
        <f>IF(D94="","-",+C145+1)</f>
        <v>2058</v>
      </c>
      <c r="D146" s="349">
        <f>IF(F145+SUM(E$100:E145)=D$93,F145,D$93-SUM(E$100:E145))</f>
        <v>0</v>
      </c>
      <c r="E146" s="509">
        <f>IF(+J97&lt;F145,J97,D146)</f>
        <v>0</v>
      </c>
      <c r="F146" s="510">
        <f t="shared" si="34"/>
        <v>0</v>
      </c>
      <c r="G146" s="510">
        <f t="shared" si="27"/>
        <v>0</v>
      </c>
      <c r="H146" s="523">
        <f t="shared" si="28"/>
        <v>0</v>
      </c>
      <c r="I146" s="572">
        <f t="shared" si="29"/>
        <v>0</v>
      </c>
      <c r="J146" s="504">
        <f t="shared" si="30"/>
        <v>0</v>
      </c>
      <c r="K146" s="504"/>
      <c r="L146" s="512"/>
      <c r="M146" s="504">
        <f t="shared" si="31"/>
        <v>0</v>
      </c>
      <c r="N146" s="512"/>
      <c r="O146" s="504">
        <f t="shared" si="32"/>
        <v>0</v>
      </c>
      <c r="P146" s="504">
        <f t="shared" si="33"/>
        <v>0</v>
      </c>
      <c r="Q146" s="243"/>
      <c r="R146" s="243"/>
      <c r="S146" s="243"/>
      <c r="T146" s="243"/>
      <c r="U146" s="243"/>
    </row>
    <row r="147" spans="2:21">
      <c r="B147" s="145" t="str">
        <f t="shared" si="26"/>
        <v/>
      </c>
      <c r="C147" s="495">
        <f>IF(D94="","-",+C146+1)</f>
        <v>2059</v>
      </c>
      <c r="D147" s="349">
        <f>IF(F146+SUM(E$100:E146)=D$93,F146,D$93-SUM(E$100:E146))</f>
        <v>0</v>
      </c>
      <c r="E147" s="509">
        <f>IF(+J97&lt;F146,J97,D147)</f>
        <v>0</v>
      </c>
      <c r="F147" s="510">
        <f t="shared" si="34"/>
        <v>0</v>
      </c>
      <c r="G147" s="510">
        <f t="shared" si="27"/>
        <v>0</v>
      </c>
      <c r="H147" s="523">
        <f t="shared" si="28"/>
        <v>0</v>
      </c>
      <c r="I147" s="572">
        <f t="shared" si="29"/>
        <v>0</v>
      </c>
      <c r="J147" s="504">
        <f t="shared" si="30"/>
        <v>0</v>
      </c>
      <c r="K147" s="504"/>
      <c r="L147" s="512"/>
      <c r="M147" s="504">
        <f t="shared" si="31"/>
        <v>0</v>
      </c>
      <c r="N147" s="512"/>
      <c r="O147" s="504">
        <f t="shared" si="32"/>
        <v>0</v>
      </c>
      <c r="P147" s="504">
        <f t="shared" si="33"/>
        <v>0</v>
      </c>
      <c r="Q147" s="243"/>
      <c r="R147" s="243"/>
      <c r="S147" s="243"/>
      <c r="T147" s="243"/>
      <c r="U147" s="243"/>
    </row>
    <row r="148" spans="2:21">
      <c r="B148" s="145" t="str">
        <f t="shared" si="26"/>
        <v/>
      </c>
      <c r="C148" s="495">
        <f>IF(D94="","-",+C147+1)</f>
        <v>2060</v>
      </c>
      <c r="D148" s="349">
        <f>IF(F147+SUM(E$100:E147)=D$93,F147,D$93-SUM(E$100:E147))</f>
        <v>0</v>
      </c>
      <c r="E148" s="509">
        <f>IF(+J97&lt;F147,J97,D148)</f>
        <v>0</v>
      </c>
      <c r="F148" s="510">
        <f t="shared" si="34"/>
        <v>0</v>
      </c>
      <c r="G148" s="510">
        <f t="shared" si="27"/>
        <v>0</v>
      </c>
      <c r="H148" s="523">
        <f t="shared" si="28"/>
        <v>0</v>
      </c>
      <c r="I148" s="572">
        <f t="shared" si="29"/>
        <v>0</v>
      </c>
      <c r="J148" s="504">
        <f t="shared" si="30"/>
        <v>0</v>
      </c>
      <c r="K148" s="504"/>
      <c r="L148" s="512"/>
      <c r="M148" s="504">
        <f t="shared" si="31"/>
        <v>0</v>
      </c>
      <c r="N148" s="512"/>
      <c r="O148" s="504">
        <f t="shared" si="32"/>
        <v>0</v>
      </c>
      <c r="P148" s="504">
        <f t="shared" si="33"/>
        <v>0</v>
      </c>
      <c r="Q148" s="243"/>
      <c r="R148" s="243"/>
      <c r="S148" s="243"/>
      <c r="T148" s="243"/>
      <c r="U148" s="243"/>
    </row>
    <row r="149" spans="2:21">
      <c r="B149" s="145" t="str">
        <f t="shared" si="26"/>
        <v/>
      </c>
      <c r="C149" s="495">
        <f>IF(D94="","-",+C148+1)</f>
        <v>2061</v>
      </c>
      <c r="D149" s="349">
        <f>IF(F148+SUM(E$100:E148)=D$93,F148,D$93-SUM(E$100:E148))</f>
        <v>0</v>
      </c>
      <c r="E149" s="509">
        <f>IF(+J97&lt;F148,J97,D149)</f>
        <v>0</v>
      </c>
      <c r="F149" s="510">
        <f t="shared" si="34"/>
        <v>0</v>
      </c>
      <c r="G149" s="510">
        <f t="shared" si="27"/>
        <v>0</v>
      </c>
      <c r="H149" s="523">
        <f t="shared" si="28"/>
        <v>0</v>
      </c>
      <c r="I149" s="572">
        <f t="shared" si="29"/>
        <v>0</v>
      </c>
      <c r="J149" s="504">
        <f t="shared" si="30"/>
        <v>0</v>
      </c>
      <c r="K149" s="504"/>
      <c r="L149" s="512"/>
      <c r="M149" s="504">
        <f t="shared" si="31"/>
        <v>0</v>
      </c>
      <c r="N149" s="512"/>
      <c r="O149" s="504">
        <f t="shared" si="32"/>
        <v>0</v>
      </c>
      <c r="P149" s="504">
        <f t="shared" si="33"/>
        <v>0</v>
      </c>
      <c r="Q149" s="243"/>
      <c r="R149" s="243"/>
      <c r="S149" s="243"/>
      <c r="T149" s="243"/>
      <c r="U149" s="243"/>
    </row>
    <row r="150" spans="2:21">
      <c r="B150" s="145" t="str">
        <f t="shared" si="26"/>
        <v/>
      </c>
      <c r="C150" s="495">
        <f>IF(D94="","-",+C149+1)</f>
        <v>2062</v>
      </c>
      <c r="D150" s="349">
        <f>IF(F149+SUM(E$100:E149)=D$93,F149,D$93-SUM(E$100:E149))</f>
        <v>0</v>
      </c>
      <c r="E150" s="509">
        <f>IF(+J97&lt;F149,J97,D150)</f>
        <v>0</v>
      </c>
      <c r="F150" s="510">
        <f t="shared" si="34"/>
        <v>0</v>
      </c>
      <c r="G150" s="510">
        <f t="shared" si="27"/>
        <v>0</v>
      </c>
      <c r="H150" s="523">
        <f t="shared" si="28"/>
        <v>0</v>
      </c>
      <c r="I150" s="572">
        <f t="shared" si="29"/>
        <v>0</v>
      </c>
      <c r="J150" s="504">
        <f t="shared" si="30"/>
        <v>0</v>
      </c>
      <c r="K150" s="504"/>
      <c r="L150" s="512"/>
      <c r="M150" s="504">
        <f t="shared" si="31"/>
        <v>0</v>
      </c>
      <c r="N150" s="512"/>
      <c r="O150" s="504">
        <f t="shared" si="32"/>
        <v>0</v>
      </c>
      <c r="P150" s="504">
        <f t="shared" si="33"/>
        <v>0</v>
      </c>
      <c r="Q150" s="243"/>
      <c r="R150" s="243"/>
      <c r="S150" s="243"/>
      <c r="T150" s="243"/>
      <c r="U150" s="243"/>
    </row>
    <row r="151" spans="2:21">
      <c r="B151" s="145" t="str">
        <f t="shared" si="26"/>
        <v/>
      </c>
      <c r="C151" s="495">
        <f>IF(D94="","-",+C150+1)</f>
        <v>2063</v>
      </c>
      <c r="D151" s="349">
        <f>IF(F150+SUM(E$100:E150)=D$93,F150,D$93-SUM(E$100:E150))</f>
        <v>0</v>
      </c>
      <c r="E151" s="509">
        <f>IF(+J97&lt;F150,J97,D151)</f>
        <v>0</v>
      </c>
      <c r="F151" s="510">
        <f t="shared" si="34"/>
        <v>0</v>
      </c>
      <c r="G151" s="510">
        <f t="shared" si="27"/>
        <v>0</v>
      </c>
      <c r="H151" s="523">
        <f t="shared" si="28"/>
        <v>0</v>
      </c>
      <c r="I151" s="572">
        <f t="shared" si="29"/>
        <v>0</v>
      </c>
      <c r="J151" s="504">
        <f t="shared" si="30"/>
        <v>0</v>
      </c>
      <c r="K151" s="504"/>
      <c r="L151" s="512"/>
      <c r="M151" s="504">
        <f t="shared" si="31"/>
        <v>0</v>
      </c>
      <c r="N151" s="512"/>
      <c r="O151" s="504">
        <f t="shared" si="32"/>
        <v>0</v>
      </c>
      <c r="P151" s="504">
        <f t="shared" si="33"/>
        <v>0</v>
      </c>
      <c r="Q151" s="243"/>
      <c r="R151" s="243"/>
      <c r="S151" s="243"/>
      <c r="T151" s="243"/>
      <c r="U151" s="243"/>
    </row>
    <row r="152" spans="2:21">
      <c r="B152" s="145" t="str">
        <f t="shared" si="26"/>
        <v/>
      </c>
      <c r="C152" s="495">
        <f>IF(D94="","-",+C151+1)</f>
        <v>2064</v>
      </c>
      <c r="D152" s="349">
        <f>IF(F151+SUM(E$100:E151)=D$93,F151,D$93-SUM(E$100:E151))</f>
        <v>0</v>
      </c>
      <c r="E152" s="509">
        <f>IF(+J97&lt;F151,J97,D152)</f>
        <v>0</v>
      </c>
      <c r="F152" s="510">
        <f t="shared" si="34"/>
        <v>0</v>
      </c>
      <c r="G152" s="510">
        <f t="shared" si="27"/>
        <v>0</v>
      </c>
      <c r="H152" s="523">
        <f t="shared" si="28"/>
        <v>0</v>
      </c>
      <c r="I152" s="572">
        <f t="shared" si="29"/>
        <v>0</v>
      </c>
      <c r="J152" s="504">
        <f t="shared" si="30"/>
        <v>0</v>
      </c>
      <c r="K152" s="504"/>
      <c r="L152" s="512"/>
      <c r="M152" s="504">
        <f t="shared" si="31"/>
        <v>0</v>
      </c>
      <c r="N152" s="512"/>
      <c r="O152" s="504">
        <f t="shared" si="32"/>
        <v>0</v>
      </c>
      <c r="P152" s="504">
        <f t="shared" si="33"/>
        <v>0</v>
      </c>
      <c r="Q152" s="243"/>
      <c r="R152" s="243"/>
      <c r="S152" s="243"/>
      <c r="T152" s="243"/>
      <c r="U152" s="243"/>
    </row>
    <row r="153" spans="2:21">
      <c r="B153" s="145" t="str">
        <f t="shared" si="26"/>
        <v/>
      </c>
      <c r="C153" s="495">
        <f>IF(D94="","-",+C152+1)</f>
        <v>2065</v>
      </c>
      <c r="D153" s="349">
        <f>IF(F152+SUM(E$100:E152)=D$93,F152,D$93-SUM(E$100:E152))</f>
        <v>0</v>
      </c>
      <c r="E153" s="509">
        <f>IF(+J97&lt;F152,J97,D153)</f>
        <v>0</v>
      </c>
      <c r="F153" s="510">
        <f t="shared" si="34"/>
        <v>0</v>
      </c>
      <c r="G153" s="510">
        <f t="shared" si="27"/>
        <v>0</v>
      </c>
      <c r="H153" s="523">
        <f t="shared" si="28"/>
        <v>0</v>
      </c>
      <c r="I153" s="572">
        <f t="shared" si="29"/>
        <v>0</v>
      </c>
      <c r="J153" s="504">
        <f t="shared" si="30"/>
        <v>0</v>
      </c>
      <c r="K153" s="504"/>
      <c r="L153" s="512"/>
      <c r="M153" s="504">
        <f t="shared" si="31"/>
        <v>0</v>
      </c>
      <c r="N153" s="512"/>
      <c r="O153" s="504">
        <f t="shared" si="32"/>
        <v>0</v>
      </c>
      <c r="P153" s="504">
        <f t="shared" si="33"/>
        <v>0</v>
      </c>
      <c r="Q153" s="243"/>
      <c r="R153" s="243"/>
      <c r="S153" s="243"/>
      <c r="T153" s="243"/>
      <c r="U153" s="243"/>
    </row>
    <row r="154" spans="2:21">
      <c r="B154" s="145" t="str">
        <f t="shared" si="26"/>
        <v/>
      </c>
      <c r="C154" s="495">
        <f>IF(D94="","-",+C153+1)</f>
        <v>2066</v>
      </c>
      <c r="D154" s="349">
        <f>IF(F153+SUM(E$100:E153)=D$93,F153,D$93-SUM(E$100:E153))</f>
        <v>0</v>
      </c>
      <c r="E154" s="509">
        <f>IF(+J97&lt;F153,J97,D154)</f>
        <v>0</v>
      </c>
      <c r="F154" s="510">
        <f t="shared" si="34"/>
        <v>0</v>
      </c>
      <c r="G154" s="510">
        <f t="shared" si="27"/>
        <v>0</v>
      </c>
      <c r="H154" s="523">
        <f t="shared" si="28"/>
        <v>0</v>
      </c>
      <c r="I154" s="572">
        <f t="shared" si="29"/>
        <v>0</v>
      </c>
      <c r="J154" s="504">
        <f t="shared" si="30"/>
        <v>0</v>
      </c>
      <c r="K154" s="504"/>
      <c r="L154" s="512"/>
      <c r="M154" s="504">
        <f t="shared" si="31"/>
        <v>0</v>
      </c>
      <c r="N154" s="512"/>
      <c r="O154" s="504">
        <f t="shared" si="32"/>
        <v>0</v>
      </c>
      <c r="P154" s="504">
        <f t="shared" si="33"/>
        <v>0</v>
      </c>
      <c r="Q154" s="243"/>
      <c r="R154" s="243"/>
      <c r="S154" s="243"/>
      <c r="T154" s="243"/>
      <c r="U154" s="243"/>
    </row>
    <row r="155" spans="2:21" ht="13.5" thickBot="1">
      <c r="B155" s="145" t="str">
        <f t="shared" si="26"/>
        <v/>
      </c>
      <c r="C155" s="524">
        <f>IF(D94="","-",+C154+1)</f>
        <v>2067</v>
      </c>
      <c r="D155" s="527">
        <f>IF(F154+SUM(E$100:E154)=D$93,F154,D$93-SUM(E$100:E154))</f>
        <v>0</v>
      </c>
      <c r="E155" s="526">
        <f>IF(+J97&lt;F154,J97,D155)</f>
        <v>0</v>
      </c>
      <c r="F155" s="527">
        <f t="shared" si="34"/>
        <v>0</v>
      </c>
      <c r="G155" s="527">
        <f t="shared" si="27"/>
        <v>0</v>
      </c>
      <c r="H155" s="528">
        <f t="shared" si="28"/>
        <v>0</v>
      </c>
      <c r="I155" s="573">
        <f t="shared" si="29"/>
        <v>0</v>
      </c>
      <c r="J155" s="531">
        <f t="shared" si="30"/>
        <v>0</v>
      </c>
      <c r="K155" s="504"/>
      <c r="L155" s="530"/>
      <c r="M155" s="531">
        <f t="shared" si="31"/>
        <v>0</v>
      </c>
      <c r="N155" s="530"/>
      <c r="O155" s="531">
        <f t="shared" si="32"/>
        <v>0</v>
      </c>
      <c r="P155" s="531">
        <f t="shared" si="33"/>
        <v>0</v>
      </c>
      <c r="Q155" s="243"/>
      <c r="R155" s="243"/>
      <c r="S155" s="243"/>
      <c r="T155" s="243"/>
      <c r="U155" s="243"/>
    </row>
    <row r="156" spans="2:21">
      <c r="C156" s="349" t="s">
        <v>75</v>
      </c>
      <c r="D156" s="294"/>
      <c r="E156" s="294">
        <f>SUM(E100:E155)</f>
        <v>0</v>
      </c>
      <c r="F156" s="294"/>
      <c r="G156" s="294"/>
      <c r="H156" s="294">
        <f>SUM(H100:H155)</f>
        <v>0</v>
      </c>
      <c r="I156" s="294">
        <f>SUM(I100:I155)</f>
        <v>0</v>
      </c>
      <c r="J156" s="294">
        <f>SUM(J100:J155)</f>
        <v>0</v>
      </c>
      <c r="K156" s="294"/>
      <c r="L156" s="294"/>
      <c r="M156" s="294"/>
      <c r="N156" s="294"/>
      <c r="O156" s="294"/>
      <c r="P156" s="243"/>
      <c r="Q156" s="243"/>
      <c r="R156" s="243"/>
      <c r="S156" s="243"/>
      <c r="T156" s="243"/>
      <c r="U156" s="243"/>
    </row>
    <row r="157" spans="2:21">
      <c r="D157" s="292"/>
      <c r="E157" s="243"/>
      <c r="F157" s="243"/>
      <c r="G157" s="243"/>
      <c r="H157" s="243"/>
      <c r="I157" s="325"/>
      <c r="J157" s="325"/>
      <c r="K157" s="294"/>
      <c r="L157" s="325"/>
      <c r="M157" s="325"/>
      <c r="N157" s="325"/>
      <c r="O157" s="325"/>
      <c r="P157" s="243"/>
      <c r="Q157" s="243"/>
      <c r="R157" s="243"/>
      <c r="S157" s="243"/>
      <c r="T157" s="243"/>
      <c r="U157" s="243"/>
    </row>
    <row r="158" spans="2:21">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c r="D159" s="292"/>
      <c r="E159" s="243"/>
      <c r="F159" s="243"/>
      <c r="G159" s="243"/>
      <c r="H159" s="243"/>
      <c r="I159" s="325"/>
      <c r="J159" s="325"/>
      <c r="K159" s="294"/>
      <c r="L159" s="325"/>
      <c r="M159" s="325"/>
      <c r="N159" s="325"/>
      <c r="O159" s="325"/>
      <c r="P159" s="243"/>
      <c r="Q159" s="243"/>
      <c r="R159" s="243"/>
      <c r="S159" s="243"/>
      <c r="T159" s="243"/>
      <c r="U159" s="243"/>
    </row>
    <row r="160" spans="2:21">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51" priority="1" stopIfTrue="1" operator="equal">
      <formula>$I$10</formula>
    </cfRule>
  </conditionalFormatting>
  <conditionalFormatting sqref="C100:C155">
    <cfRule type="cellIs" dxfId="50"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U163"/>
  <sheetViews>
    <sheetView view="pageBreakPreview" zoomScale="85" zoomScaleNormal="100" workbookViewId="0"/>
  </sheetViews>
  <sheetFormatPr defaultColWidth="8.7109375" defaultRowHeight="12.75" customHeight="1"/>
  <cols>
    <col min="1" max="1" width="4.7109375" style="145" customWidth="1"/>
    <col min="2" max="2" width="6.7109375" style="145" customWidth="1"/>
    <col min="3" max="3" width="23.28515625" style="145" customWidth="1"/>
    <col min="4" max="8" width="17.7109375" style="145" customWidth="1"/>
    <col min="9" max="9" width="20.42578125" style="145" customWidth="1"/>
    <col min="10" max="10" width="16.42578125" style="145" customWidth="1"/>
    <col min="11" max="11" width="17.7109375" style="145" customWidth="1"/>
    <col min="12" max="12" width="16.140625" style="145" customWidth="1"/>
    <col min="13" max="13" width="17.7109375" style="145" customWidth="1"/>
    <col min="14" max="14" width="16.7109375" style="145" customWidth="1"/>
    <col min="15" max="15" width="16.85546875" style="145" customWidth="1"/>
    <col min="16" max="16" width="24.42578125" style="145" customWidth="1"/>
    <col min="17" max="17" width="4.7109375" style="145" customWidth="1"/>
    <col min="18" max="22" width="8.7109375" style="145"/>
    <col min="23" max="23" width="9.140625" style="145" customWidth="1"/>
    <col min="24" max="16384" width="8.7109375" style="145"/>
  </cols>
  <sheetData>
    <row r="1" spans="1:21" ht="20.25">
      <c r="A1" s="437" t="s">
        <v>189</v>
      </c>
      <c r="B1" s="243"/>
      <c r="C1" s="248"/>
      <c r="D1" s="292"/>
      <c r="E1" s="243"/>
      <c r="F1" s="339"/>
      <c r="G1" s="243"/>
      <c r="H1" s="325"/>
      <c r="J1" s="220"/>
      <c r="K1" s="438"/>
      <c r="L1" s="438"/>
      <c r="M1" s="438"/>
      <c r="P1" s="439" t="str">
        <f ca="1">"OKT Project "&amp;RIGHT(MID(CELL("filename",$A$1),FIND("]",CELL("filename",$A$1))+1,256),1)&amp;" of "&amp;COUNT('OKT.001:OKT.xyz - blank'!$P$3)-1</f>
        <v>OKT Project 6 of 23</v>
      </c>
      <c r="Q1" s="440"/>
      <c r="R1" s="243"/>
      <c r="S1" s="243"/>
      <c r="T1" s="243"/>
      <c r="U1" s="243">
        <v>2017</v>
      </c>
    </row>
    <row r="2" spans="1:21" ht="18">
      <c r="B2" s="243"/>
      <c r="C2" s="243"/>
      <c r="D2" s="292"/>
      <c r="E2" s="243"/>
      <c r="F2" s="243"/>
      <c r="G2" s="243"/>
      <c r="H2" s="325"/>
      <c r="I2" s="243"/>
      <c r="J2" s="278"/>
      <c r="K2" s="243"/>
      <c r="L2" s="243"/>
      <c r="M2" s="243"/>
      <c r="N2" s="243"/>
      <c r="P2" s="441" t="s">
        <v>131</v>
      </c>
      <c r="R2" s="243"/>
      <c r="S2" s="243"/>
      <c r="T2" s="243"/>
      <c r="U2" s="243"/>
    </row>
    <row r="3" spans="1:21" ht="18.75">
      <c r="B3" s="233" t="s">
        <v>42</v>
      </c>
      <c r="C3" s="305" t="s">
        <v>43</v>
      </c>
      <c r="D3" s="292"/>
      <c r="E3" s="243"/>
      <c r="F3" s="243"/>
      <c r="G3" s="243"/>
      <c r="H3" s="325" t="str">
        <f>"For Calendar Year "&amp;V1-1&amp;" and Projected Year "&amp;V1</f>
        <v xml:space="preserve">For Calendar Year -1 and Projected Year </v>
      </c>
      <c r="I3" s="325"/>
      <c r="J3" s="294"/>
      <c r="K3" s="325"/>
      <c r="L3" s="325"/>
      <c r="M3" s="325"/>
      <c r="N3" s="325"/>
      <c r="O3" s="243"/>
      <c r="P3" s="577">
        <v>1</v>
      </c>
      <c r="R3" s="243"/>
      <c r="S3" s="243"/>
      <c r="T3" s="243"/>
      <c r="U3" s="243"/>
    </row>
    <row r="4" spans="1:21" ht="15.75" thickBot="1">
      <c r="C4" s="304"/>
      <c r="D4" s="292"/>
      <c r="E4" s="243"/>
      <c r="F4" s="243"/>
      <c r="G4" s="243"/>
      <c r="H4" s="325"/>
      <c r="I4" s="325"/>
      <c r="J4" s="294"/>
      <c r="K4" s="325"/>
      <c r="L4" s="325"/>
      <c r="M4" s="325"/>
      <c r="N4" s="325"/>
      <c r="O4" s="243"/>
      <c r="P4" s="243"/>
      <c r="R4" s="243"/>
      <c r="S4" s="243"/>
      <c r="T4" s="243"/>
      <c r="U4" s="243"/>
    </row>
    <row r="5" spans="1:21" ht="15">
      <c r="C5" s="443" t="s">
        <v>44</v>
      </c>
      <c r="D5" s="292"/>
      <c r="E5" s="243"/>
      <c r="F5" s="243"/>
      <c r="G5" s="444"/>
      <c r="H5" s="243" t="s">
        <v>45</v>
      </c>
      <c r="I5" s="243"/>
      <c r="J5" s="278"/>
      <c r="K5" s="445" t="s">
        <v>242</v>
      </c>
      <c r="L5" s="446"/>
      <c r="M5" s="447"/>
      <c r="N5" s="448">
        <f>VLOOKUP(I10,C17:I73,5)</f>
        <v>3505662.168801737</v>
      </c>
      <c r="P5" s="243"/>
      <c r="R5" s="243"/>
      <c r="S5" s="243"/>
      <c r="T5" s="243"/>
      <c r="U5" s="243"/>
    </row>
    <row r="6" spans="1:21" ht="15.75">
      <c r="C6" s="235"/>
      <c r="D6" s="292"/>
      <c r="E6" s="243"/>
      <c r="F6" s="243"/>
      <c r="G6" s="243"/>
      <c r="H6" s="449"/>
      <c r="I6" s="449"/>
      <c r="J6" s="450"/>
      <c r="K6" s="451" t="s">
        <v>243</v>
      </c>
      <c r="L6" s="452"/>
      <c r="M6" s="278"/>
      <c r="N6" s="453">
        <f>VLOOKUP(I10,C17:I73,6)</f>
        <v>3505662.168801737</v>
      </c>
      <c r="O6" s="243"/>
      <c r="P6" s="243"/>
      <c r="R6" s="243"/>
      <c r="S6" s="243"/>
      <c r="T6" s="243"/>
      <c r="U6" s="243"/>
    </row>
    <row r="7" spans="1:21" ht="13.5" thickBot="1">
      <c r="C7" s="454" t="s">
        <v>46</v>
      </c>
      <c r="D7" s="455" t="s">
        <v>206</v>
      </c>
      <c r="E7" s="243"/>
      <c r="F7" s="243"/>
      <c r="G7" s="243"/>
      <c r="H7" s="325"/>
      <c r="I7" s="325"/>
      <c r="J7" s="294"/>
      <c r="K7" s="456" t="s">
        <v>47</v>
      </c>
      <c r="L7" s="457"/>
      <c r="M7" s="457"/>
      <c r="N7" s="458">
        <f>+N6-N5</f>
        <v>0</v>
      </c>
      <c r="O7" s="243"/>
      <c r="P7" s="243"/>
      <c r="R7" s="243"/>
      <c r="S7" s="243"/>
      <c r="T7" s="243"/>
      <c r="U7" s="243"/>
    </row>
    <row r="8" spans="1:21" ht="13.5" thickBot="1">
      <c r="C8" s="459"/>
      <c r="D8" s="460" t="str">
        <f>IF(D10&lt;100000,"DOES NOT MEET SPP $100,000 MINIMUM INVESTMENT FOR REGIONAL BPU SHARING.","")</f>
        <v/>
      </c>
      <c r="E8" s="461"/>
      <c r="F8" s="461"/>
      <c r="G8" s="461"/>
      <c r="H8" s="461"/>
      <c r="I8" s="461"/>
      <c r="J8" s="462"/>
      <c r="K8" s="461"/>
      <c r="L8" s="461"/>
      <c r="M8" s="461"/>
      <c r="N8" s="461"/>
      <c r="O8" s="462"/>
      <c r="P8" s="248"/>
      <c r="R8" s="243"/>
      <c r="S8" s="243"/>
      <c r="T8" s="243"/>
      <c r="U8" s="243"/>
    </row>
    <row r="9" spans="1:21" ht="13.5" thickBot="1">
      <c r="A9" s="152"/>
      <c r="C9" s="463" t="s">
        <v>48</v>
      </c>
      <c r="D9" s="464" t="s">
        <v>205</v>
      </c>
      <c r="E9" s="647" t="s">
        <v>307</v>
      </c>
      <c r="F9" s="465"/>
      <c r="G9" s="465"/>
      <c r="H9" s="465"/>
      <c r="I9" s="466"/>
      <c r="J9" s="467"/>
      <c r="O9" s="468"/>
      <c r="P9" s="278"/>
      <c r="R9" s="243"/>
      <c r="S9" s="243"/>
      <c r="T9" s="243"/>
      <c r="U9" s="243"/>
    </row>
    <row r="10" spans="1:21">
      <c r="C10" s="469" t="s">
        <v>49</v>
      </c>
      <c r="D10" s="470">
        <v>28914235.739999998</v>
      </c>
      <c r="E10" s="299" t="s">
        <v>50</v>
      </c>
      <c r="F10" s="468"/>
      <c r="G10" s="408"/>
      <c r="H10" s="408"/>
      <c r="I10" s="471">
        <f>+OKT.WS.F.BPU.ATRR.Projected!R101</f>
        <v>2022</v>
      </c>
      <c r="J10" s="467"/>
      <c r="K10" s="294" t="s">
        <v>51</v>
      </c>
      <c r="O10" s="278"/>
      <c r="P10" s="278"/>
      <c r="R10" s="243"/>
      <c r="S10" s="243"/>
      <c r="T10" s="243"/>
      <c r="U10" s="243"/>
    </row>
    <row r="11" spans="1:21">
      <c r="C11" s="472" t="s">
        <v>52</v>
      </c>
      <c r="D11" s="473">
        <v>2013</v>
      </c>
      <c r="E11" s="472" t="s">
        <v>53</v>
      </c>
      <c r="F11" s="408"/>
      <c r="G11" s="220"/>
      <c r="H11" s="220"/>
      <c r="I11" s="474">
        <v>0</v>
      </c>
      <c r="J11" s="475"/>
      <c r="K11" s="145" t="str">
        <f>"          INPUT PROJECTED ARR (WITH &amp; WITHOUT INCENTIVES) FROM EACH PRIOR YEAR"</f>
        <v xml:space="preserve">          INPUT PROJECTED ARR (WITH &amp; WITHOUT INCENTIVES) FROM EACH PRIOR YEAR</v>
      </c>
      <c r="O11" s="278"/>
      <c r="P11" s="278"/>
      <c r="R11" s="243"/>
      <c r="S11" s="243"/>
      <c r="T11" s="243"/>
      <c r="U11" s="243"/>
    </row>
    <row r="12" spans="1:21">
      <c r="C12" s="472" t="s">
        <v>54</v>
      </c>
      <c r="D12" s="470">
        <v>8</v>
      </c>
      <c r="E12" s="472" t="s">
        <v>55</v>
      </c>
      <c r="F12" s="408"/>
      <c r="G12" s="220"/>
      <c r="H12" s="220"/>
      <c r="I12" s="476">
        <f>OKT.WS.F.BPU.ATRR.Projected!$F$79</f>
        <v>0.11475877389767174</v>
      </c>
      <c r="J12" s="578"/>
      <c r="K12" s="145" t="s">
        <v>56</v>
      </c>
      <c r="O12" s="278"/>
      <c r="P12" s="278"/>
      <c r="R12" s="243"/>
      <c r="S12" s="243"/>
      <c r="T12" s="243"/>
      <c r="U12" s="243"/>
    </row>
    <row r="13" spans="1:21">
      <c r="C13" s="472" t="s">
        <v>57</v>
      </c>
      <c r="D13" s="474">
        <f>OKT.WS.F.BPU.ATRR.Projected!F90</f>
        <v>33</v>
      </c>
      <c r="E13" s="472" t="s">
        <v>58</v>
      </c>
      <c r="F13" s="408"/>
      <c r="G13" s="220"/>
      <c r="H13" s="220"/>
      <c r="I13" s="476">
        <f>IF(G5="",I12,OKT.WS.F.BPU.ATRR.Projected!$F$78)</f>
        <v>0.11475877389767174</v>
      </c>
      <c r="J13" s="413"/>
      <c r="K13" s="294" t="s">
        <v>59</v>
      </c>
      <c r="L13" s="291"/>
      <c r="M13" s="291"/>
      <c r="N13" s="291"/>
      <c r="O13" s="278"/>
      <c r="P13" s="278"/>
      <c r="R13" s="243"/>
      <c r="S13" s="243"/>
      <c r="T13" s="243"/>
      <c r="U13" s="243"/>
    </row>
    <row r="14" spans="1:21" ht="13.5" thickBot="1">
      <c r="C14" s="472" t="s">
        <v>60</v>
      </c>
      <c r="D14" s="473" t="s">
        <v>61</v>
      </c>
      <c r="E14" s="278" t="s">
        <v>62</v>
      </c>
      <c r="F14" s="408"/>
      <c r="G14" s="220"/>
      <c r="H14" s="220"/>
      <c r="I14" s="477">
        <f>IF(D10=0,0,D10/D13)</f>
        <v>876188.96181818179</v>
      </c>
      <c r="J14" s="294"/>
      <c r="K14" s="294"/>
      <c r="L14" s="294"/>
      <c r="M14" s="294"/>
      <c r="N14" s="294"/>
      <c r="O14" s="278"/>
      <c r="P14" s="278"/>
      <c r="R14" s="243"/>
      <c r="S14" s="243"/>
      <c r="T14" s="243"/>
      <c r="U14" s="243"/>
    </row>
    <row r="15" spans="1:21" ht="38.25">
      <c r="C15" s="478" t="s">
        <v>49</v>
      </c>
      <c r="D15" s="479" t="s">
        <v>193</v>
      </c>
      <c r="E15" s="480" t="s">
        <v>63</v>
      </c>
      <c r="F15" s="480" t="s">
        <v>64</v>
      </c>
      <c r="G15" s="481" t="s">
        <v>251</v>
      </c>
      <c r="H15" s="482" t="s">
        <v>252</v>
      </c>
      <c r="I15" s="478" t="s">
        <v>65</v>
      </c>
      <c r="J15" s="483"/>
      <c r="K15" s="479" t="s">
        <v>176</v>
      </c>
      <c r="L15" s="484" t="s">
        <v>66</v>
      </c>
      <c r="M15" s="479" t="s">
        <v>176</v>
      </c>
      <c r="N15" s="484" t="s">
        <v>66</v>
      </c>
      <c r="O15" s="485" t="s">
        <v>67</v>
      </c>
      <c r="P15" s="278"/>
      <c r="R15" s="243"/>
      <c r="S15" s="243"/>
      <c r="T15" s="243"/>
      <c r="U15" s="243"/>
    </row>
    <row r="16" spans="1:21" ht="13.5" thickBot="1">
      <c r="C16" s="486" t="s">
        <v>68</v>
      </c>
      <c r="D16" s="487" t="s">
        <v>69</v>
      </c>
      <c r="E16" s="486" t="s">
        <v>70</v>
      </c>
      <c r="F16" s="486" t="s">
        <v>69</v>
      </c>
      <c r="G16" s="579" t="s">
        <v>71</v>
      </c>
      <c r="H16" s="489" t="s">
        <v>72</v>
      </c>
      <c r="I16" s="490" t="s">
        <v>93</v>
      </c>
      <c r="J16" s="491" t="s">
        <v>73</v>
      </c>
      <c r="K16" s="492" t="s">
        <v>74</v>
      </c>
      <c r="L16" s="493" t="s">
        <v>74</v>
      </c>
      <c r="M16" s="492" t="s">
        <v>94</v>
      </c>
      <c r="N16" s="494" t="s">
        <v>94</v>
      </c>
      <c r="O16" s="492" t="s">
        <v>94</v>
      </c>
      <c r="P16" s="278"/>
      <c r="R16" s="243"/>
      <c r="S16" s="243"/>
      <c r="T16" s="243"/>
      <c r="U16" s="243"/>
    </row>
    <row r="17" spans="2:21">
      <c r="B17" s="145" t="str">
        <f t="shared" ref="B17:B49" si="0">IF(D17=F16,"","IU")</f>
        <v>IU</v>
      </c>
      <c r="C17" s="580">
        <f>IF(D11= "","-",D11)</f>
        <v>2013</v>
      </c>
      <c r="D17" s="496">
        <v>6627800</v>
      </c>
      <c r="E17" s="497">
        <v>57327.852379007891</v>
      </c>
      <c r="F17" s="496">
        <v>6570472.1476209918</v>
      </c>
      <c r="G17" s="498">
        <v>692344.48890277033</v>
      </c>
      <c r="H17" s="499">
        <v>692344.48890277033</v>
      </c>
      <c r="I17" s="584">
        <v>0</v>
      </c>
      <c r="J17" s="500"/>
      <c r="K17" s="501">
        <f t="shared" ref="K17:K22" si="1">G17</f>
        <v>692344.48890277033</v>
      </c>
      <c r="L17" s="607">
        <f t="shared" ref="L17:L49" si="2">IF(K17&lt;&gt;0,+G17-K17,0)</f>
        <v>0</v>
      </c>
      <c r="M17" s="608">
        <f t="shared" ref="M17:M22" si="3">H17</f>
        <v>692344.48890277033</v>
      </c>
      <c r="N17" s="586">
        <f t="shared" ref="N17:N49" si="4">IF(M17&lt;&gt;0,+H17-M17,0)</f>
        <v>0</v>
      </c>
      <c r="O17" s="504">
        <f t="shared" ref="O17:O49" si="5">+N17-L17</f>
        <v>0</v>
      </c>
      <c r="P17" s="278"/>
      <c r="R17" s="243"/>
      <c r="S17" s="243"/>
      <c r="T17" s="243"/>
      <c r="U17" s="243"/>
    </row>
    <row r="18" spans="2:21">
      <c r="B18" s="145" t="str">
        <f t="shared" si="0"/>
        <v>IU</v>
      </c>
      <c r="C18" s="495">
        <f>IF(D11="","-",+C17+1)</f>
        <v>2014</v>
      </c>
      <c r="D18" s="505">
        <v>28510458.147620991</v>
      </c>
      <c r="E18" s="498">
        <v>494200.13235254184</v>
      </c>
      <c r="F18" s="505">
        <v>28016258.015268449</v>
      </c>
      <c r="G18" s="498">
        <v>3554730.1038106573</v>
      </c>
      <c r="H18" s="499">
        <v>3554730.1038106573</v>
      </c>
      <c r="I18" s="500">
        <v>0</v>
      </c>
      <c r="J18" s="500"/>
      <c r="K18" s="506">
        <f t="shared" si="1"/>
        <v>3554730.1038106573</v>
      </c>
      <c r="L18" s="609">
        <f t="shared" ref="L18:L23" si="6">IF(K18&lt;&gt;0,+G18-K18,0)</f>
        <v>0</v>
      </c>
      <c r="M18" s="610">
        <f t="shared" si="3"/>
        <v>3554730.1038106573</v>
      </c>
      <c r="N18" s="500">
        <f>IF(M18&lt;&gt;0,+H18-M18,0)</f>
        <v>0</v>
      </c>
      <c r="O18" s="504">
        <f>+N18-L18</f>
        <v>0</v>
      </c>
      <c r="P18" s="278"/>
      <c r="R18" s="243"/>
      <c r="S18" s="243"/>
      <c r="T18" s="243"/>
      <c r="U18" s="243"/>
    </row>
    <row r="19" spans="2:21">
      <c r="B19" s="145" t="str">
        <f t="shared" si="0"/>
        <v>IU</v>
      </c>
      <c r="C19" s="495">
        <f>IF(D11="","-",+C18+1)</f>
        <v>2015</v>
      </c>
      <c r="D19" s="505">
        <v>28130872.015268449</v>
      </c>
      <c r="E19" s="498">
        <v>496182.86401993298</v>
      </c>
      <c r="F19" s="505">
        <v>27634689.151248515</v>
      </c>
      <c r="G19" s="498">
        <v>3536753.8544176081</v>
      </c>
      <c r="H19" s="499">
        <v>3536753.8544176081</v>
      </c>
      <c r="I19" s="500">
        <v>0</v>
      </c>
      <c r="J19" s="500"/>
      <c r="K19" s="506">
        <f t="shared" si="1"/>
        <v>3536753.8544176081</v>
      </c>
      <c r="L19" s="507">
        <f t="shared" si="6"/>
        <v>0</v>
      </c>
      <c r="M19" s="506">
        <f t="shared" si="3"/>
        <v>3536753.8544176081</v>
      </c>
      <c r="N19" s="504">
        <f>IF(M19&lt;&gt;0,+H19-M19,0)</f>
        <v>0</v>
      </c>
      <c r="O19" s="504">
        <f>+N19-L19</f>
        <v>0</v>
      </c>
      <c r="P19" s="278"/>
      <c r="R19" s="243"/>
      <c r="S19" s="243"/>
      <c r="T19" s="243"/>
      <c r="U19" s="243"/>
    </row>
    <row r="20" spans="2:21">
      <c r="B20" s="145" t="str">
        <f t="shared" si="0"/>
        <v>IU</v>
      </c>
      <c r="C20" s="495">
        <f>IF(D11="","-",+C19+1)</f>
        <v>2016</v>
      </c>
      <c r="D20" s="505">
        <v>27866524.891248517</v>
      </c>
      <c r="E20" s="498">
        <v>600822.03590460983</v>
      </c>
      <c r="F20" s="505">
        <v>27265702.855343908</v>
      </c>
      <c r="G20" s="498">
        <v>3542256.1502628839</v>
      </c>
      <c r="H20" s="499">
        <v>3542256.1502628839</v>
      </c>
      <c r="I20" s="500">
        <f t="shared" ref="I20:I49" si="7">H20-G20</f>
        <v>0</v>
      </c>
      <c r="J20" s="500"/>
      <c r="K20" s="506">
        <f t="shared" si="1"/>
        <v>3542256.1502628839</v>
      </c>
      <c r="L20" s="507">
        <f t="shared" si="6"/>
        <v>0</v>
      </c>
      <c r="M20" s="506">
        <f t="shared" si="3"/>
        <v>3542256.1502628839</v>
      </c>
      <c r="N20" s="504">
        <f t="shared" si="4"/>
        <v>0</v>
      </c>
      <c r="O20" s="504">
        <f t="shared" si="5"/>
        <v>0</v>
      </c>
      <c r="P20" s="278"/>
      <c r="R20" s="243"/>
      <c r="S20" s="243"/>
      <c r="T20" s="243"/>
      <c r="U20" s="243"/>
    </row>
    <row r="21" spans="2:21">
      <c r="B21" s="145" t="str">
        <f t="shared" si="0"/>
        <v/>
      </c>
      <c r="C21" s="495">
        <f>IF(D12="","-",+C20+1)</f>
        <v>2017</v>
      </c>
      <c r="D21" s="505">
        <v>27265702.855343908</v>
      </c>
      <c r="E21" s="498">
        <v>568511.11858112796</v>
      </c>
      <c r="F21" s="505">
        <v>26697191.736762781</v>
      </c>
      <c r="G21" s="498">
        <v>3534850.6884225709</v>
      </c>
      <c r="H21" s="499">
        <v>3534850.6884225709</v>
      </c>
      <c r="I21" s="500">
        <f t="shared" si="7"/>
        <v>0</v>
      </c>
      <c r="J21" s="500"/>
      <c r="K21" s="506">
        <f t="shared" si="1"/>
        <v>3534850.6884225709</v>
      </c>
      <c r="L21" s="507">
        <f t="shared" si="6"/>
        <v>0</v>
      </c>
      <c r="M21" s="506">
        <f t="shared" si="3"/>
        <v>3534850.6884225709</v>
      </c>
      <c r="N21" s="504">
        <f>IF(M21&lt;&gt;0,+H21-M21,0)</f>
        <v>0</v>
      </c>
      <c r="O21" s="504">
        <f>+N21-L21</f>
        <v>0</v>
      </c>
      <c r="P21" s="278"/>
      <c r="R21" s="243"/>
      <c r="S21" s="243"/>
      <c r="T21" s="243"/>
      <c r="U21" s="243"/>
    </row>
    <row r="22" spans="2:21">
      <c r="B22" s="145" t="str">
        <f t="shared" si="0"/>
        <v/>
      </c>
      <c r="C22" s="495">
        <f>IF(D11="","-",+C21+1)</f>
        <v>2018</v>
      </c>
      <c r="D22" s="505">
        <v>26697191.736762781</v>
      </c>
      <c r="E22" s="498">
        <v>709109.54353113449</v>
      </c>
      <c r="F22" s="505">
        <v>25988082.193231646</v>
      </c>
      <c r="G22" s="498">
        <v>3386144.4526302526</v>
      </c>
      <c r="H22" s="499">
        <v>3386144.4526302526</v>
      </c>
      <c r="I22" s="500">
        <v>0</v>
      </c>
      <c r="J22" s="500"/>
      <c r="K22" s="506">
        <f t="shared" si="1"/>
        <v>3386144.4526302526</v>
      </c>
      <c r="L22" s="507">
        <f t="shared" si="6"/>
        <v>0</v>
      </c>
      <c r="M22" s="506">
        <f t="shared" si="3"/>
        <v>3386144.4526302526</v>
      </c>
      <c r="N22" s="504">
        <f>IF(M22&lt;&gt;0,+H22-M22,0)</f>
        <v>0</v>
      </c>
      <c r="O22" s="504">
        <f>+N22-L22</f>
        <v>0</v>
      </c>
      <c r="P22" s="278"/>
      <c r="R22" s="243"/>
      <c r="S22" s="243"/>
      <c r="T22" s="243"/>
      <c r="U22" s="243"/>
    </row>
    <row r="23" spans="2:21">
      <c r="B23" s="145" t="str">
        <f t="shared" si="0"/>
        <v/>
      </c>
      <c r="C23" s="495">
        <f>IF(D11="","-",+C22+1)</f>
        <v>2019</v>
      </c>
      <c r="D23" s="505">
        <v>25988082.193231646</v>
      </c>
      <c r="E23" s="498">
        <v>857562.89168410667</v>
      </c>
      <c r="F23" s="505">
        <v>25130519.301547538</v>
      </c>
      <c r="G23" s="498">
        <v>3514093.467191291</v>
      </c>
      <c r="H23" s="499">
        <v>3514093.467191291</v>
      </c>
      <c r="I23" s="500">
        <f t="shared" si="7"/>
        <v>0</v>
      </c>
      <c r="J23" s="500"/>
      <c r="K23" s="506">
        <f t="shared" ref="K23" si="8">G23</f>
        <v>3514093.467191291</v>
      </c>
      <c r="L23" s="507">
        <f t="shared" si="6"/>
        <v>0</v>
      </c>
      <c r="M23" s="506">
        <f t="shared" ref="M23" si="9">H23</f>
        <v>3514093.467191291</v>
      </c>
      <c r="N23" s="504">
        <f>IF(M23&lt;&gt;0,+H23-M23,0)</f>
        <v>0</v>
      </c>
      <c r="O23" s="504">
        <f>+N23-L23</f>
        <v>0</v>
      </c>
      <c r="P23" s="278"/>
      <c r="R23" s="243"/>
      <c r="S23" s="243"/>
      <c r="T23" s="243"/>
      <c r="U23" s="243"/>
    </row>
    <row r="24" spans="2:21">
      <c r="B24" s="145" t="str">
        <f t="shared" si="0"/>
        <v>IU</v>
      </c>
      <c r="C24" s="495">
        <f>IF(D11="","-",+C23+1)</f>
        <v>2020</v>
      </c>
      <c r="D24" s="505">
        <v>25278972.649700511</v>
      </c>
      <c r="E24" s="498">
        <v>846660.3033934671</v>
      </c>
      <c r="F24" s="505">
        <v>24432312.346307043</v>
      </c>
      <c r="G24" s="498">
        <v>3454824.1726137344</v>
      </c>
      <c r="H24" s="499">
        <v>3454824.1726137344</v>
      </c>
      <c r="I24" s="500">
        <f t="shared" si="7"/>
        <v>0</v>
      </c>
      <c r="J24" s="500"/>
      <c r="K24" s="506">
        <f t="shared" ref="K24" si="10">G24</f>
        <v>3454824.1726137344</v>
      </c>
      <c r="L24" s="507">
        <f t="shared" ref="L24" si="11">IF(K24&lt;&gt;0,+G24-K24,0)</f>
        <v>0</v>
      </c>
      <c r="M24" s="506">
        <f t="shared" ref="M24" si="12">H24</f>
        <v>3454824.1726137344</v>
      </c>
      <c r="N24" s="504">
        <f>IF(M24&lt;&gt;0,+H24-M24,0)</f>
        <v>0</v>
      </c>
      <c r="O24" s="504">
        <f>+N24-L24</f>
        <v>0</v>
      </c>
      <c r="P24" s="278"/>
      <c r="R24" s="243"/>
      <c r="S24" s="243"/>
      <c r="T24" s="243"/>
      <c r="U24" s="243"/>
    </row>
    <row r="25" spans="2:21">
      <c r="B25" s="145" t="str">
        <f t="shared" si="0"/>
        <v>IU</v>
      </c>
      <c r="C25" s="495">
        <f>IF(D11="","-",+C24+1)</f>
        <v>2021</v>
      </c>
      <c r="D25" s="505">
        <v>24283858.99815407</v>
      </c>
      <c r="E25" s="498">
        <v>932717.2819354838</v>
      </c>
      <c r="F25" s="505">
        <v>23351141.716218587</v>
      </c>
      <c r="G25" s="498">
        <v>3509415.1582725761</v>
      </c>
      <c r="H25" s="499">
        <v>3509415.1582725761</v>
      </c>
      <c r="I25" s="500">
        <f t="shared" si="7"/>
        <v>0</v>
      </c>
      <c r="J25" s="500"/>
      <c r="K25" s="506">
        <f t="shared" ref="K25" si="13">G25</f>
        <v>3509415.1582725761</v>
      </c>
      <c r="L25" s="507">
        <f t="shared" ref="L25" si="14">IF(K25&lt;&gt;0,+G25-K25,0)</f>
        <v>0</v>
      </c>
      <c r="M25" s="506">
        <f t="shared" ref="M25" si="15">H25</f>
        <v>3509415.1582725761</v>
      </c>
      <c r="N25" s="504">
        <f t="shared" si="4"/>
        <v>0</v>
      </c>
      <c r="O25" s="504">
        <f t="shared" si="5"/>
        <v>0</v>
      </c>
      <c r="P25" s="278"/>
      <c r="R25" s="243"/>
      <c r="S25" s="243"/>
      <c r="T25" s="243"/>
      <c r="U25" s="243"/>
    </row>
    <row r="26" spans="2:21">
      <c r="B26" s="145" t="str">
        <f t="shared" si="0"/>
        <v/>
      </c>
      <c r="C26" s="495">
        <f>IF(D11="","-",+C25+1)</f>
        <v>2022</v>
      </c>
      <c r="D26" s="508">
        <f>IF(F25+SUM(E$17:E25)=D$10,F25,D$10-SUM(E$17:E25))</f>
        <v>23351141.716218587</v>
      </c>
      <c r="E26" s="509">
        <f>IF(+I14&lt;F25,I14,D26)</f>
        <v>876188.96181818179</v>
      </c>
      <c r="F26" s="510">
        <f t="shared" ref="F26:F49" si="16">+D26-E26</f>
        <v>22474952.754400406</v>
      </c>
      <c r="G26" s="511">
        <f t="shared" ref="G26:G73" si="17">(D26+F26)/2*I$12+E26</f>
        <v>3505662.168801737</v>
      </c>
      <c r="H26" s="477">
        <f t="shared" ref="H26:H73" si="18">+(D26+F26)/2*I$13+E26</f>
        <v>3505662.168801737</v>
      </c>
      <c r="I26" s="500">
        <f t="shared" si="7"/>
        <v>0</v>
      </c>
      <c r="J26" s="500"/>
      <c r="K26" s="512"/>
      <c r="L26" s="504">
        <f t="shared" si="2"/>
        <v>0</v>
      </c>
      <c r="M26" s="512"/>
      <c r="N26" s="504">
        <f t="shared" si="4"/>
        <v>0</v>
      </c>
      <c r="O26" s="504">
        <f t="shared" si="5"/>
        <v>0</v>
      </c>
      <c r="P26" s="278"/>
      <c r="R26" s="243"/>
      <c r="S26" s="243"/>
      <c r="T26" s="243"/>
      <c r="U26" s="243"/>
    </row>
    <row r="27" spans="2:21">
      <c r="B27" s="145" t="str">
        <f t="shared" si="0"/>
        <v/>
      </c>
      <c r="C27" s="495">
        <f>IF(D11="","-",+C26+1)</f>
        <v>2023</v>
      </c>
      <c r="D27" s="508">
        <f>IF(F26+SUM(E$17:E26)=D$10,F26,D$10-SUM(E$17:E26))</f>
        <v>22474952.754400406</v>
      </c>
      <c r="E27" s="509">
        <f>IF(+I14&lt;F26,I14,D27)</f>
        <v>876188.96181818179</v>
      </c>
      <c r="F27" s="510">
        <f t="shared" si="16"/>
        <v>21598763.792582225</v>
      </c>
      <c r="G27" s="511">
        <f t="shared" si="17"/>
        <v>3405111.7978408085</v>
      </c>
      <c r="H27" s="477">
        <f t="shared" si="18"/>
        <v>3405111.7978408085</v>
      </c>
      <c r="I27" s="500">
        <f t="shared" si="7"/>
        <v>0</v>
      </c>
      <c r="J27" s="500"/>
      <c r="K27" s="512"/>
      <c r="L27" s="504">
        <f t="shared" si="2"/>
        <v>0</v>
      </c>
      <c r="M27" s="512"/>
      <c r="N27" s="504">
        <f t="shared" si="4"/>
        <v>0</v>
      </c>
      <c r="O27" s="504">
        <f t="shared" si="5"/>
        <v>0</v>
      </c>
      <c r="P27" s="278"/>
      <c r="R27" s="243"/>
      <c r="S27" s="243"/>
      <c r="T27" s="243"/>
      <c r="U27" s="243"/>
    </row>
    <row r="28" spans="2:21">
      <c r="B28" s="145" t="str">
        <f t="shared" si="0"/>
        <v/>
      </c>
      <c r="C28" s="495">
        <f>IF(D11="","-",+C27+1)</f>
        <v>2024</v>
      </c>
      <c r="D28" s="508">
        <f>IF(F27+SUM(E$17:E27)=D$10,F27,D$10-SUM(E$17:E27))</f>
        <v>21598763.792582225</v>
      </c>
      <c r="E28" s="509">
        <f>IF(+I14&lt;F27,I14,D28)</f>
        <v>876188.96181818179</v>
      </c>
      <c r="F28" s="510">
        <f t="shared" si="16"/>
        <v>20722574.830764044</v>
      </c>
      <c r="G28" s="511">
        <f t="shared" si="17"/>
        <v>3304561.42687988</v>
      </c>
      <c r="H28" s="477">
        <f t="shared" si="18"/>
        <v>3304561.42687988</v>
      </c>
      <c r="I28" s="500">
        <f t="shared" si="7"/>
        <v>0</v>
      </c>
      <c r="J28" s="500"/>
      <c r="K28" s="512"/>
      <c r="L28" s="504">
        <f t="shared" si="2"/>
        <v>0</v>
      </c>
      <c r="M28" s="512"/>
      <c r="N28" s="504">
        <f t="shared" si="4"/>
        <v>0</v>
      </c>
      <c r="O28" s="504">
        <f t="shared" si="5"/>
        <v>0</v>
      </c>
      <c r="P28" s="278"/>
      <c r="R28" s="243"/>
      <c r="S28" s="243"/>
      <c r="T28" s="243"/>
      <c r="U28" s="243"/>
    </row>
    <row r="29" spans="2:21">
      <c r="B29" s="145" t="str">
        <f t="shared" si="0"/>
        <v/>
      </c>
      <c r="C29" s="495">
        <f>IF(D11="","-",+C28+1)</f>
        <v>2025</v>
      </c>
      <c r="D29" s="508">
        <f>IF(F28+SUM(E$17:E28)=D$10,F28,D$10-SUM(E$17:E28))</f>
        <v>20722574.830764044</v>
      </c>
      <c r="E29" s="509">
        <f>IF(+I14&lt;F28,I14,D29)</f>
        <v>876188.96181818179</v>
      </c>
      <c r="F29" s="510">
        <f t="shared" si="16"/>
        <v>19846385.868945863</v>
      </c>
      <c r="G29" s="511">
        <f t="shared" si="17"/>
        <v>3204011.055918952</v>
      </c>
      <c r="H29" s="477">
        <f t="shared" si="18"/>
        <v>3204011.055918952</v>
      </c>
      <c r="I29" s="500">
        <f t="shared" si="7"/>
        <v>0</v>
      </c>
      <c r="J29" s="500"/>
      <c r="K29" s="512"/>
      <c r="L29" s="504">
        <f t="shared" si="2"/>
        <v>0</v>
      </c>
      <c r="M29" s="512"/>
      <c r="N29" s="504">
        <f t="shared" si="4"/>
        <v>0</v>
      </c>
      <c r="O29" s="504">
        <f t="shared" si="5"/>
        <v>0</v>
      </c>
      <c r="P29" s="278"/>
      <c r="R29" s="243"/>
      <c r="S29" s="243"/>
      <c r="T29" s="243"/>
      <c r="U29" s="243"/>
    </row>
    <row r="30" spans="2:21">
      <c r="B30" s="145" t="str">
        <f t="shared" si="0"/>
        <v/>
      </c>
      <c r="C30" s="495">
        <f>IF(D11="","-",+C29+1)</f>
        <v>2026</v>
      </c>
      <c r="D30" s="508">
        <f>IF(F29+SUM(E$17:E29)=D$10,F29,D$10-SUM(E$17:E29))</f>
        <v>19846385.868945863</v>
      </c>
      <c r="E30" s="509">
        <f>IF(+I14&lt;F29,I14,D30)</f>
        <v>876188.96181818179</v>
      </c>
      <c r="F30" s="510">
        <f t="shared" si="16"/>
        <v>18970196.907127682</v>
      </c>
      <c r="G30" s="511">
        <f t="shared" si="17"/>
        <v>3103460.6849580235</v>
      </c>
      <c r="H30" s="477">
        <f t="shared" si="18"/>
        <v>3103460.6849580235</v>
      </c>
      <c r="I30" s="500">
        <f t="shared" si="7"/>
        <v>0</v>
      </c>
      <c r="J30" s="500"/>
      <c r="K30" s="512"/>
      <c r="L30" s="504">
        <f t="shared" si="2"/>
        <v>0</v>
      </c>
      <c r="M30" s="512"/>
      <c r="N30" s="504">
        <f t="shared" si="4"/>
        <v>0</v>
      </c>
      <c r="O30" s="504">
        <f t="shared" si="5"/>
        <v>0</v>
      </c>
      <c r="P30" s="278"/>
      <c r="R30" s="243"/>
      <c r="S30" s="243"/>
      <c r="T30" s="243"/>
      <c r="U30" s="243"/>
    </row>
    <row r="31" spans="2:21">
      <c r="B31" s="145" t="str">
        <f t="shared" si="0"/>
        <v/>
      </c>
      <c r="C31" s="495">
        <f>IF(D11="","-",+C30+1)</f>
        <v>2027</v>
      </c>
      <c r="D31" s="508">
        <f>IF(F30+SUM(E$17:E30)=D$10,F30,D$10-SUM(E$17:E30))</f>
        <v>18970196.907127682</v>
      </c>
      <c r="E31" s="509">
        <f>IF(+I14&lt;F30,I14,D31)</f>
        <v>876188.96181818179</v>
      </c>
      <c r="F31" s="510">
        <f t="shared" si="16"/>
        <v>18094007.945309501</v>
      </c>
      <c r="G31" s="511">
        <f t="shared" si="17"/>
        <v>3002910.313997095</v>
      </c>
      <c r="H31" s="477">
        <f t="shared" si="18"/>
        <v>3002910.313997095</v>
      </c>
      <c r="I31" s="500">
        <f t="shared" si="7"/>
        <v>0</v>
      </c>
      <c r="J31" s="500"/>
      <c r="K31" s="512"/>
      <c r="L31" s="504">
        <f t="shared" si="2"/>
        <v>0</v>
      </c>
      <c r="M31" s="512"/>
      <c r="N31" s="504">
        <f t="shared" si="4"/>
        <v>0</v>
      </c>
      <c r="O31" s="504">
        <f t="shared" si="5"/>
        <v>0</v>
      </c>
      <c r="P31" s="278"/>
      <c r="Q31" s="220"/>
      <c r="R31" s="278"/>
      <c r="S31" s="278"/>
      <c r="T31" s="278"/>
      <c r="U31" s="243"/>
    </row>
    <row r="32" spans="2:21">
      <c r="B32" s="145" t="str">
        <f t="shared" si="0"/>
        <v/>
      </c>
      <c r="C32" s="495">
        <f>IF(D12="","-",+C31+1)</f>
        <v>2028</v>
      </c>
      <c r="D32" s="508">
        <f>IF(F31+SUM(E$17:E31)=D$10,F31,D$10-SUM(E$17:E31))</f>
        <v>18094007.945309501</v>
      </c>
      <c r="E32" s="509">
        <f>IF(+I14&lt;F31,I14,D32)</f>
        <v>876188.96181818179</v>
      </c>
      <c r="F32" s="510">
        <f>+D32-E32</f>
        <v>17217818.98349132</v>
      </c>
      <c r="G32" s="511">
        <f t="shared" si="17"/>
        <v>2902359.9430361665</v>
      </c>
      <c r="H32" s="477">
        <f t="shared" si="18"/>
        <v>2902359.9430361665</v>
      </c>
      <c r="I32" s="500">
        <f>H32-G32</f>
        <v>0</v>
      </c>
      <c r="J32" s="500"/>
      <c r="K32" s="512"/>
      <c r="L32" s="504">
        <f>IF(K32&lt;&gt;0,+G32-K32,0)</f>
        <v>0</v>
      </c>
      <c r="M32" s="512"/>
      <c r="N32" s="504">
        <f>IF(M32&lt;&gt;0,+H32-M32,0)</f>
        <v>0</v>
      </c>
      <c r="O32" s="504">
        <f>+N32-L32</f>
        <v>0</v>
      </c>
      <c r="P32" s="278"/>
      <c r="Q32" s="220"/>
      <c r="R32" s="278"/>
      <c r="S32" s="278"/>
      <c r="T32" s="278"/>
      <c r="U32" s="243"/>
    </row>
    <row r="33" spans="2:21">
      <c r="B33" s="145" t="str">
        <f t="shared" si="0"/>
        <v/>
      </c>
      <c r="C33" s="495">
        <f>IF(D13="","-",+C32+1)</f>
        <v>2029</v>
      </c>
      <c r="D33" s="508">
        <f>IF(F32+SUM(E$17:E32)=D$10,F32,D$10-SUM(E$17:E32))</f>
        <v>17217818.98349132</v>
      </c>
      <c r="E33" s="509">
        <f>IF(+I14&lt;F31,I14,D33)</f>
        <v>876188.96181818179</v>
      </c>
      <c r="F33" s="510">
        <f t="shared" si="16"/>
        <v>16341630.021673139</v>
      </c>
      <c r="G33" s="511">
        <f t="shared" si="17"/>
        <v>2801809.5720752385</v>
      </c>
      <c r="H33" s="477">
        <f t="shared" si="18"/>
        <v>2801809.5720752385</v>
      </c>
      <c r="I33" s="500">
        <f t="shared" si="7"/>
        <v>0</v>
      </c>
      <c r="J33" s="500"/>
      <c r="K33" s="512"/>
      <c r="L33" s="504">
        <f t="shared" si="2"/>
        <v>0</v>
      </c>
      <c r="M33" s="512"/>
      <c r="N33" s="504">
        <f t="shared" si="4"/>
        <v>0</v>
      </c>
      <c r="O33" s="504">
        <f t="shared" si="5"/>
        <v>0</v>
      </c>
      <c r="P33" s="278"/>
      <c r="R33" s="243"/>
      <c r="S33" s="243"/>
      <c r="T33" s="243"/>
      <c r="U33" s="243"/>
    </row>
    <row r="34" spans="2:21">
      <c r="B34" s="145" t="str">
        <f t="shared" si="0"/>
        <v/>
      </c>
      <c r="C34" s="513">
        <f>IF(D11="","-",+C33+1)</f>
        <v>2030</v>
      </c>
      <c r="D34" s="514">
        <f>IF(F33+SUM(E$17:E33)=D$10,F33,D$10-SUM(E$17:E33))</f>
        <v>16341630.021673139</v>
      </c>
      <c r="E34" s="515">
        <f>IF(+I14&lt;F33,I14,D34)</f>
        <v>876188.96181818179</v>
      </c>
      <c r="F34" s="516">
        <f t="shared" si="16"/>
        <v>15465441.059854958</v>
      </c>
      <c r="G34" s="517">
        <f t="shared" si="17"/>
        <v>2701259.20111431</v>
      </c>
      <c r="H34" s="518">
        <f t="shared" si="18"/>
        <v>2701259.20111431</v>
      </c>
      <c r="I34" s="519">
        <f t="shared" si="7"/>
        <v>0</v>
      </c>
      <c r="J34" s="519"/>
      <c r="K34" s="520"/>
      <c r="L34" s="521">
        <f t="shared" si="2"/>
        <v>0</v>
      </c>
      <c r="M34" s="520"/>
      <c r="N34" s="521">
        <f t="shared" si="4"/>
        <v>0</v>
      </c>
      <c r="O34" s="521">
        <f t="shared" si="5"/>
        <v>0</v>
      </c>
      <c r="P34" s="522"/>
      <c r="Q34" s="216"/>
      <c r="R34" s="522"/>
      <c r="S34" s="522"/>
      <c r="T34" s="522"/>
      <c r="U34" s="243"/>
    </row>
    <row r="35" spans="2:21">
      <c r="B35" s="145" t="str">
        <f t="shared" si="0"/>
        <v/>
      </c>
      <c r="C35" s="495">
        <f>IF(D11="","-",+C34+1)</f>
        <v>2031</v>
      </c>
      <c r="D35" s="508">
        <f>IF(F34+SUM(E$17:E34)=D$10,F34,D$10-SUM(E$17:E34))</f>
        <v>15465441.059854958</v>
      </c>
      <c r="E35" s="509">
        <f>IF(+I14&lt;F34,I14,D35)</f>
        <v>876188.96181818179</v>
      </c>
      <c r="F35" s="510">
        <f t="shared" si="16"/>
        <v>14589252.098036777</v>
      </c>
      <c r="G35" s="511">
        <f t="shared" si="17"/>
        <v>2600708.8301533815</v>
      </c>
      <c r="H35" s="477">
        <f t="shared" si="18"/>
        <v>2600708.8301533815</v>
      </c>
      <c r="I35" s="500">
        <f t="shared" si="7"/>
        <v>0</v>
      </c>
      <c r="J35" s="500"/>
      <c r="K35" s="512"/>
      <c r="L35" s="504">
        <f t="shared" si="2"/>
        <v>0</v>
      </c>
      <c r="M35" s="512"/>
      <c r="N35" s="504">
        <f t="shared" si="4"/>
        <v>0</v>
      </c>
      <c r="O35" s="504">
        <f t="shared" si="5"/>
        <v>0</v>
      </c>
      <c r="P35" s="278"/>
      <c r="R35" s="243"/>
      <c r="S35" s="243"/>
      <c r="T35" s="243"/>
      <c r="U35" s="243"/>
    </row>
    <row r="36" spans="2:21">
      <c r="B36" s="145" t="str">
        <f t="shared" si="0"/>
        <v/>
      </c>
      <c r="C36" s="495">
        <f>IF(D11="","-",+C35+1)</f>
        <v>2032</v>
      </c>
      <c r="D36" s="508">
        <f>IF(F35+SUM(E$17:E35)=D$10,F35,D$10-SUM(E$17:E35))</f>
        <v>14589252.098036777</v>
      </c>
      <c r="E36" s="509">
        <f>IF(+I14&lt;F35,I14,D36)</f>
        <v>876188.96181818179</v>
      </c>
      <c r="F36" s="510">
        <f t="shared" si="16"/>
        <v>13713063.136218596</v>
      </c>
      <c r="G36" s="511">
        <f t="shared" si="17"/>
        <v>2500158.459192453</v>
      </c>
      <c r="H36" s="477">
        <f t="shared" si="18"/>
        <v>2500158.459192453</v>
      </c>
      <c r="I36" s="500">
        <f t="shared" si="7"/>
        <v>0</v>
      </c>
      <c r="J36" s="500"/>
      <c r="K36" s="512"/>
      <c r="L36" s="504">
        <f t="shared" si="2"/>
        <v>0</v>
      </c>
      <c r="M36" s="512"/>
      <c r="N36" s="504">
        <f t="shared" si="4"/>
        <v>0</v>
      </c>
      <c r="O36" s="504">
        <f t="shared" si="5"/>
        <v>0</v>
      </c>
      <c r="P36" s="278"/>
      <c r="R36" s="243"/>
      <c r="S36" s="243"/>
      <c r="T36" s="243"/>
      <c r="U36" s="243"/>
    </row>
    <row r="37" spans="2:21">
      <c r="B37" s="145" t="str">
        <f t="shared" si="0"/>
        <v/>
      </c>
      <c r="C37" s="495">
        <f>IF(D11="","-",+C36+1)</f>
        <v>2033</v>
      </c>
      <c r="D37" s="508">
        <f>IF(F36+SUM(E$17:E36)=D$10,F36,D$10-SUM(E$17:E36))</f>
        <v>13713063.136218596</v>
      </c>
      <c r="E37" s="509">
        <f>IF(+I14&lt;F36,I14,D37)</f>
        <v>876188.96181818179</v>
      </c>
      <c r="F37" s="510">
        <f t="shared" si="16"/>
        <v>12836874.174400415</v>
      </c>
      <c r="G37" s="511">
        <f t="shared" si="17"/>
        <v>2399608.0882315249</v>
      </c>
      <c r="H37" s="477">
        <f t="shared" si="18"/>
        <v>2399608.0882315249</v>
      </c>
      <c r="I37" s="500">
        <f t="shared" si="7"/>
        <v>0</v>
      </c>
      <c r="J37" s="500"/>
      <c r="K37" s="512"/>
      <c r="L37" s="504">
        <f t="shared" si="2"/>
        <v>0</v>
      </c>
      <c r="M37" s="512"/>
      <c r="N37" s="504">
        <f t="shared" si="4"/>
        <v>0</v>
      </c>
      <c r="O37" s="504">
        <f t="shared" si="5"/>
        <v>0</v>
      </c>
      <c r="P37" s="278"/>
      <c r="R37" s="243"/>
      <c r="S37" s="243"/>
      <c r="T37" s="243"/>
      <c r="U37" s="243"/>
    </row>
    <row r="38" spans="2:21">
      <c r="B38" s="145" t="str">
        <f t="shared" si="0"/>
        <v/>
      </c>
      <c r="C38" s="495">
        <f>IF(D11="","-",+C37+1)</f>
        <v>2034</v>
      </c>
      <c r="D38" s="508">
        <f>IF(F37+SUM(E$17:E37)=D$10,F37,D$10-SUM(E$17:E37))</f>
        <v>12836874.174400415</v>
      </c>
      <c r="E38" s="509">
        <f>IF(+I14&lt;F37,I14,D38)</f>
        <v>876188.96181818179</v>
      </c>
      <c r="F38" s="510">
        <f t="shared" si="16"/>
        <v>11960685.212582234</v>
      </c>
      <c r="G38" s="511">
        <f t="shared" si="17"/>
        <v>2299057.7172705964</v>
      </c>
      <c r="H38" s="477">
        <f t="shared" si="18"/>
        <v>2299057.7172705964</v>
      </c>
      <c r="I38" s="500">
        <f t="shared" si="7"/>
        <v>0</v>
      </c>
      <c r="J38" s="500"/>
      <c r="K38" s="512"/>
      <c r="L38" s="504">
        <f t="shared" si="2"/>
        <v>0</v>
      </c>
      <c r="M38" s="512"/>
      <c r="N38" s="504">
        <f t="shared" si="4"/>
        <v>0</v>
      </c>
      <c r="O38" s="504">
        <f t="shared" si="5"/>
        <v>0</v>
      </c>
      <c r="P38" s="278"/>
      <c r="R38" s="243"/>
      <c r="S38" s="243"/>
      <c r="T38" s="243"/>
      <c r="U38" s="243"/>
    </row>
    <row r="39" spans="2:21">
      <c r="B39" s="145" t="str">
        <f t="shared" si="0"/>
        <v/>
      </c>
      <c r="C39" s="495">
        <f>IF(D11="","-",+C38+1)</f>
        <v>2035</v>
      </c>
      <c r="D39" s="508">
        <f>IF(F38+SUM(E$17:E38)=D$10,F38,D$10-SUM(E$17:E38))</f>
        <v>11960685.212582234</v>
      </c>
      <c r="E39" s="509">
        <f>IF(+I14&lt;F38,I14,D39)</f>
        <v>876188.96181818179</v>
      </c>
      <c r="F39" s="510">
        <f t="shared" si="16"/>
        <v>11084496.250764053</v>
      </c>
      <c r="G39" s="511">
        <f t="shared" si="17"/>
        <v>2198507.3463096679</v>
      </c>
      <c r="H39" s="477">
        <f t="shared" si="18"/>
        <v>2198507.3463096679</v>
      </c>
      <c r="I39" s="500">
        <f t="shared" si="7"/>
        <v>0</v>
      </c>
      <c r="J39" s="500"/>
      <c r="K39" s="512"/>
      <c r="L39" s="504">
        <f t="shared" si="2"/>
        <v>0</v>
      </c>
      <c r="M39" s="512"/>
      <c r="N39" s="504">
        <f t="shared" si="4"/>
        <v>0</v>
      </c>
      <c r="O39" s="504">
        <f t="shared" si="5"/>
        <v>0</v>
      </c>
      <c r="P39" s="278"/>
      <c r="R39" s="243"/>
      <c r="S39" s="243"/>
      <c r="T39" s="243"/>
      <c r="U39" s="243"/>
    </row>
    <row r="40" spans="2:21">
      <c r="B40" s="145" t="str">
        <f t="shared" si="0"/>
        <v/>
      </c>
      <c r="C40" s="495">
        <f>IF(D11="","-",+C39+1)</f>
        <v>2036</v>
      </c>
      <c r="D40" s="508">
        <f>IF(F39+SUM(E$17:E39)=D$10,F39,D$10-SUM(E$17:E39))</f>
        <v>11084496.250764053</v>
      </c>
      <c r="E40" s="509">
        <f>IF(+I14&lt;F39,I14,D40)</f>
        <v>876188.96181818179</v>
      </c>
      <c r="F40" s="510">
        <f t="shared" si="16"/>
        <v>10208307.288945872</v>
      </c>
      <c r="G40" s="511">
        <f t="shared" si="17"/>
        <v>2097956.9753487399</v>
      </c>
      <c r="H40" s="477">
        <f t="shared" si="18"/>
        <v>2097956.9753487399</v>
      </c>
      <c r="I40" s="500">
        <f t="shared" si="7"/>
        <v>0</v>
      </c>
      <c r="J40" s="500"/>
      <c r="K40" s="512"/>
      <c r="L40" s="504">
        <f t="shared" si="2"/>
        <v>0</v>
      </c>
      <c r="M40" s="512"/>
      <c r="N40" s="504">
        <f t="shared" si="4"/>
        <v>0</v>
      </c>
      <c r="O40" s="504">
        <f t="shared" si="5"/>
        <v>0</v>
      </c>
      <c r="P40" s="278"/>
      <c r="R40" s="243"/>
      <c r="S40" s="243"/>
      <c r="T40" s="243"/>
      <c r="U40" s="243"/>
    </row>
    <row r="41" spans="2:21">
      <c r="B41" s="145" t="str">
        <f t="shared" si="0"/>
        <v/>
      </c>
      <c r="C41" s="495">
        <f>IF(D12="","-",+C40+1)</f>
        <v>2037</v>
      </c>
      <c r="D41" s="508">
        <f>IF(F40+SUM(E$17:E40)=D$10,F40,D$10-SUM(E$17:E40))</f>
        <v>10208307.288945872</v>
      </c>
      <c r="E41" s="509">
        <f>IF(+I14&lt;F40,I14,D41)</f>
        <v>876188.96181818179</v>
      </c>
      <c r="F41" s="510">
        <f t="shared" si="16"/>
        <v>9332118.3271276914</v>
      </c>
      <c r="G41" s="511">
        <f t="shared" si="17"/>
        <v>1997406.6043878114</v>
      </c>
      <c r="H41" s="477">
        <f t="shared" si="18"/>
        <v>1997406.6043878114</v>
      </c>
      <c r="I41" s="500">
        <f t="shared" si="7"/>
        <v>0</v>
      </c>
      <c r="J41" s="500"/>
      <c r="K41" s="512"/>
      <c r="L41" s="504">
        <f t="shared" si="2"/>
        <v>0</v>
      </c>
      <c r="M41" s="512"/>
      <c r="N41" s="504">
        <f t="shared" si="4"/>
        <v>0</v>
      </c>
      <c r="O41" s="504">
        <f t="shared" si="5"/>
        <v>0</v>
      </c>
      <c r="P41" s="278"/>
      <c r="R41" s="243"/>
      <c r="S41" s="243"/>
      <c r="T41" s="243"/>
      <c r="U41" s="243"/>
    </row>
    <row r="42" spans="2:21">
      <c r="B42" s="145" t="str">
        <f t="shared" si="0"/>
        <v/>
      </c>
      <c r="C42" s="495">
        <f>IF(D13="","-",+C41+1)</f>
        <v>2038</v>
      </c>
      <c r="D42" s="508">
        <f>IF(F41+SUM(E$17:E41)=D$10,F41,D$10-SUM(E$17:E41))</f>
        <v>9332118.3271276914</v>
      </c>
      <c r="E42" s="509">
        <f>IF(+I14&lt;F41,I14,D42)</f>
        <v>876188.96181818179</v>
      </c>
      <c r="F42" s="510">
        <f t="shared" si="16"/>
        <v>8455929.3653095104</v>
      </c>
      <c r="G42" s="511">
        <f t="shared" si="17"/>
        <v>1896856.2334268829</v>
      </c>
      <c r="H42" s="477">
        <f t="shared" si="18"/>
        <v>1896856.2334268829</v>
      </c>
      <c r="I42" s="500">
        <f t="shared" si="7"/>
        <v>0</v>
      </c>
      <c r="J42" s="500"/>
      <c r="K42" s="512"/>
      <c r="L42" s="504">
        <f t="shared" si="2"/>
        <v>0</v>
      </c>
      <c r="M42" s="512"/>
      <c r="N42" s="504">
        <f t="shared" si="4"/>
        <v>0</v>
      </c>
      <c r="O42" s="504">
        <f t="shared" si="5"/>
        <v>0</v>
      </c>
      <c r="P42" s="278"/>
      <c r="R42" s="243"/>
      <c r="S42" s="243"/>
      <c r="T42" s="243"/>
      <c r="U42" s="243"/>
    </row>
    <row r="43" spans="2:21">
      <c r="B43" s="145" t="str">
        <f t="shared" si="0"/>
        <v/>
      </c>
      <c r="C43" s="495">
        <f>IF(D11="","-",+C42+1)</f>
        <v>2039</v>
      </c>
      <c r="D43" s="508">
        <f>IF(F42+SUM(E$17:E42)=D$10,F42,D$10-SUM(E$17:E42))</f>
        <v>8455929.3653095104</v>
      </c>
      <c r="E43" s="509">
        <f>IF(+I14&lt;F42,I14,D43)</f>
        <v>876188.96181818179</v>
      </c>
      <c r="F43" s="510">
        <f t="shared" si="16"/>
        <v>7579740.4034913285</v>
      </c>
      <c r="G43" s="511">
        <f t="shared" si="17"/>
        <v>1796305.8624659546</v>
      </c>
      <c r="H43" s="477">
        <f t="shared" si="18"/>
        <v>1796305.8624659546</v>
      </c>
      <c r="I43" s="500">
        <f t="shared" si="7"/>
        <v>0</v>
      </c>
      <c r="J43" s="500"/>
      <c r="K43" s="512"/>
      <c r="L43" s="504">
        <f t="shared" si="2"/>
        <v>0</v>
      </c>
      <c r="M43" s="512"/>
      <c r="N43" s="504">
        <f t="shared" si="4"/>
        <v>0</v>
      </c>
      <c r="O43" s="504">
        <f t="shared" si="5"/>
        <v>0</v>
      </c>
      <c r="P43" s="278"/>
      <c r="R43" s="243"/>
      <c r="S43" s="243"/>
      <c r="T43" s="243"/>
      <c r="U43" s="243"/>
    </row>
    <row r="44" spans="2:21">
      <c r="B44" s="145" t="str">
        <f t="shared" si="0"/>
        <v/>
      </c>
      <c r="C44" s="495">
        <f>IF(D11="","-",+C43+1)</f>
        <v>2040</v>
      </c>
      <c r="D44" s="508">
        <f>IF(F43+SUM(E$17:E43)=D$10,F43,D$10-SUM(E$17:E43))</f>
        <v>7579740.4034913285</v>
      </c>
      <c r="E44" s="509">
        <f>IF(+I14&lt;F43,I14,D44)</f>
        <v>876188.96181818179</v>
      </c>
      <c r="F44" s="510">
        <f t="shared" si="16"/>
        <v>6703551.4416731466</v>
      </c>
      <c r="G44" s="511">
        <f t="shared" si="17"/>
        <v>1695755.4915050259</v>
      </c>
      <c r="H44" s="477">
        <f t="shared" si="18"/>
        <v>1695755.4915050259</v>
      </c>
      <c r="I44" s="500">
        <f t="shared" si="7"/>
        <v>0</v>
      </c>
      <c r="J44" s="500"/>
      <c r="K44" s="512"/>
      <c r="L44" s="504">
        <f t="shared" si="2"/>
        <v>0</v>
      </c>
      <c r="M44" s="512"/>
      <c r="N44" s="504">
        <f t="shared" si="4"/>
        <v>0</v>
      </c>
      <c r="O44" s="504">
        <f t="shared" si="5"/>
        <v>0</v>
      </c>
      <c r="P44" s="278"/>
      <c r="R44" s="243"/>
      <c r="S44" s="243"/>
      <c r="T44" s="243"/>
      <c r="U44" s="243"/>
    </row>
    <row r="45" spans="2:21">
      <c r="B45" s="145" t="str">
        <f t="shared" si="0"/>
        <v/>
      </c>
      <c r="C45" s="495">
        <f>IF(D11="","-",+C44+1)</f>
        <v>2041</v>
      </c>
      <c r="D45" s="508">
        <f>IF(F44+SUM(E$17:E44)=D$10,F44,D$10-SUM(E$17:E44))</f>
        <v>6703551.4416731466</v>
      </c>
      <c r="E45" s="509">
        <f>IF(+I14&lt;F44,I14,D45)</f>
        <v>876188.96181818179</v>
      </c>
      <c r="F45" s="510">
        <f t="shared" si="16"/>
        <v>5827362.4798549647</v>
      </c>
      <c r="G45" s="511">
        <f t="shared" si="17"/>
        <v>1595205.1205440976</v>
      </c>
      <c r="H45" s="477">
        <f t="shared" si="18"/>
        <v>1595205.1205440976</v>
      </c>
      <c r="I45" s="500">
        <f t="shared" si="7"/>
        <v>0</v>
      </c>
      <c r="J45" s="500"/>
      <c r="K45" s="512"/>
      <c r="L45" s="504">
        <f t="shared" si="2"/>
        <v>0</v>
      </c>
      <c r="M45" s="512"/>
      <c r="N45" s="504">
        <f t="shared" si="4"/>
        <v>0</v>
      </c>
      <c r="O45" s="504">
        <f t="shared" si="5"/>
        <v>0</v>
      </c>
      <c r="P45" s="278"/>
      <c r="R45" s="243"/>
      <c r="S45" s="243"/>
      <c r="T45" s="243"/>
      <c r="U45" s="243"/>
    </row>
    <row r="46" spans="2:21">
      <c r="B46" s="145" t="str">
        <f t="shared" si="0"/>
        <v/>
      </c>
      <c r="C46" s="495">
        <f>IF(D11="","-",+C45+1)</f>
        <v>2042</v>
      </c>
      <c r="D46" s="508">
        <f>IF(F45+SUM(E$17:E45)=D$10,F45,D$10-SUM(E$17:E45))</f>
        <v>5827362.4798549647</v>
      </c>
      <c r="E46" s="509">
        <f>IF(+I14&lt;F45,I14,D46)</f>
        <v>876188.96181818179</v>
      </c>
      <c r="F46" s="510">
        <f t="shared" si="16"/>
        <v>4951173.5180367827</v>
      </c>
      <c r="G46" s="511">
        <f t="shared" si="17"/>
        <v>1494654.7495831691</v>
      </c>
      <c r="H46" s="477">
        <f t="shared" si="18"/>
        <v>1494654.7495831691</v>
      </c>
      <c r="I46" s="500">
        <f t="shared" si="7"/>
        <v>0</v>
      </c>
      <c r="J46" s="500"/>
      <c r="K46" s="512"/>
      <c r="L46" s="504">
        <f t="shared" si="2"/>
        <v>0</v>
      </c>
      <c r="M46" s="512"/>
      <c r="N46" s="504">
        <f t="shared" si="4"/>
        <v>0</v>
      </c>
      <c r="O46" s="504">
        <f t="shared" si="5"/>
        <v>0</v>
      </c>
      <c r="P46" s="278"/>
      <c r="R46" s="243"/>
      <c r="S46" s="243"/>
      <c r="T46" s="243"/>
      <c r="U46" s="243"/>
    </row>
    <row r="47" spans="2:21">
      <c r="B47" s="145" t="str">
        <f t="shared" si="0"/>
        <v/>
      </c>
      <c r="C47" s="495">
        <f>IF(D11="","-",+C46+1)</f>
        <v>2043</v>
      </c>
      <c r="D47" s="508">
        <f>IF(F46+SUM(E$17:E46)=D$10,F46,D$10-SUM(E$17:E46))</f>
        <v>4951173.5180367827</v>
      </c>
      <c r="E47" s="509">
        <f>IF(+I14&lt;F46,I14,D47)</f>
        <v>876188.96181818179</v>
      </c>
      <c r="F47" s="510">
        <f t="shared" si="16"/>
        <v>4074984.5562186008</v>
      </c>
      <c r="G47" s="511">
        <f t="shared" si="17"/>
        <v>1394104.3786222406</v>
      </c>
      <c r="H47" s="477">
        <f t="shared" si="18"/>
        <v>1394104.3786222406</v>
      </c>
      <c r="I47" s="500">
        <f t="shared" si="7"/>
        <v>0</v>
      </c>
      <c r="J47" s="500"/>
      <c r="K47" s="512"/>
      <c r="L47" s="504">
        <f t="shared" si="2"/>
        <v>0</v>
      </c>
      <c r="M47" s="512"/>
      <c r="N47" s="504">
        <f t="shared" si="4"/>
        <v>0</v>
      </c>
      <c r="O47" s="504">
        <f t="shared" si="5"/>
        <v>0</v>
      </c>
      <c r="P47" s="278"/>
      <c r="R47" s="243"/>
      <c r="S47" s="243"/>
      <c r="T47" s="243"/>
      <c r="U47" s="243"/>
    </row>
    <row r="48" spans="2:21">
      <c r="B48" s="145" t="str">
        <f t="shared" si="0"/>
        <v/>
      </c>
      <c r="C48" s="495">
        <f>IF(D11="","-",+C47+1)</f>
        <v>2044</v>
      </c>
      <c r="D48" s="508">
        <f>IF(F47+SUM(E$17:E47)=D$10,F47,D$10-SUM(E$17:E47))</f>
        <v>4074984.5562186008</v>
      </c>
      <c r="E48" s="509">
        <f>IF(+I14&lt;F47,I14,D48)</f>
        <v>876188.96181818179</v>
      </c>
      <c r="F48" s="510">
        <f t="shared" si="16"/>
        <v>3198795.5944004189</v>
      </c>
      <c r="G48" s="511">
        <f t="shared" si="17"/>
        <v>1293554.0076613121</v>
      </c>
      <c r="H48" s="477">
        <f t="shared" si="18"/>
        <v>1293554.0076613121</v>
      </c>
      <c r="I48" s="500">
        <f t="shared" si="7"/>
        <v>0</v>
      </c>
      <c r="J48" s="500"/>
      <c r="K48" s="512"/>
      <c r="L48" s="504">
        <f t="shared" si="2"/>
        <v>0</v>
      </c>
      <c r="M48" s="512"/>
      <c r="N48" s="504">
        <f t="shared" si="4"/>
        <v>0</v>
      </c>
      <c r="O48" s="504">
        <f t="shared" si="5"/>
        <v>0</v>
      </c>
      <c r="P48" s="278"/>
      <c r="R48" s="243"/>
      <c r="S48" s="243"/>
      <c r="T48" s="243"/>
      <c r="U48" s="243"/>
    </row>
    <row r="49" spans="2:21">
      <c r="B49" s="145" t="str">
        <f t="shared" si="0"/>
        <v/>
      </c>
      <c r="C49" s="495">
        <f>IF(D11="","-",+C48+1)</f>
        <v>2045</v>
      </c>
      <c r="D49" s="508">
        <f>IF(F48+SUM(E$17:E48)=D$10,F48,D$10-SUM(E$17:E48))</f>
        <v>3198795.5944004189</v>
      </c>
      <c r="E49" s="509">
        <f>IF(+I14&lt;F48,I14,D49)</f>
        <v>876188.96181818179</v>
      </c>
      <c r="F49" s="510">
        <f t="shared" si="16"/>
        <v>2322606.632582237</v>
      </c>
      <c r="G49" s="511">
        <f t="shared" si="17"/>
        <v>1193003.6367003836</v>
      </c>
      <c r="H49" s="477">
        <f t="shared" si="18"/>
        <v>1193003.6367003836</v>
      </c>
      <c r="I49" s="500">
        <f t="shared" si="7"/>
        <v>0</v>
      </c>
      <c r="J49" s="500"/>
      <c r="K49" s="512"/>
      <c r="L49" s="504">
        <f t="shared" si="2"/>
        <v>0</v>
      </c>
      <c r="M49" s="512"/>
      <c r="N49" s="504">
        <f t="shared" si="4"/>
        <v>0</v>
      </c>
      <c r="O49" s="504">
        <f t="shared" si="5"/>
        <v>0</v>
      </c>
      <c r="P49" s="278"/>
      <c r="R49" s="243"/>
      <c r="S49" s="243"/>
      <c r="T49" s="243"/>
      <c r="U49" s="243"/>
    </row>
    <row r="50" spans="2:21">
      <c r="B50" s="145" t="str">
        <f t="shared" ref="B50:B73" si="19">IF(D50=F49,"","IU")</f>
        <v/>
      </c>
      <c r="C50" s="495">
        <f>IF(D11="","-",+C49+1)</f>
        <v>2046</v>
      </c>
      <c r="D50" s="508">
        <f>IF(F49+SUM(E$17:E49)=D$10,F49,D$10-SUM(E$17:E49))</f>
        <v>2322606.632582237</v>
      </c>
      <c r="E50" s="509">
        <f>IF(+I14&lt;F49,I14,D50)</f>
        <v>876188.96181818179</v>
      </c>
      <c r="F50" s="510">
        <f t="shared" ref="F50:F73" si="20">+D50-E50</f>
        <v>1446417.6707640551</v>
      </c>
      <c r="G50" s="511">
        <f t="shared" si="17"/>
        <v>1092453.2657394554</v>
      </c>
      <c r="H50" s="477">
        <f t="shared" si="18"/>
        <v>1092453.2657394554</v>
      </c>
      <c r="I50" s="500">
        <f t="shared" ref="I50:I73" si="21">H50-G50</f>
        <v>0</v>
      </c>
      <c r="J50" s="500"/>
      <c r="K50" s="512"/>
      <c r="L50" s="504">
        <f t="shared" ref="L50:L73" si="22">IF(K50&lt;&gt;0,+G50-K50,0)</f>
        <v>0</v>
      </c>
      <c r="M50" s="512"/>
      <c r="N50" s="504">
        <f t="shared" ref="N50:N73" si="23">IF(M50&lt;&gt;0,+H50-M50,0)</f>
        <v>0</v>
      </c>
      <c r="O50" s="504">
        <f t="shared" ref="O50:O73" si="24">+N50-L50</f>
        <v>0</v>
      </c>
      <c r="P50" s="278"/>
      <c r="R50" s="243"/>
      <c r="S50" s="243"/>
      <c r="T50" s="243"/>
      <c r="U50" s="243"/>
    </row>
    <row r="51" spans="2:21">
      <c r="B51" s="145" t="str">
        <f t="shared" si="19"/>
        <v/>
      </c>
      <c r="C51" s="495">
        <f>IF(D11="","-",+C50+1)</f>
        <v>2047</v>
      </c>
      <c r="D51" s="508">
        <f>IF(F50+SUM(E$17:E50)=D$10,F50,D$10-SUM(E$17:E50))</f>
        <v>1446417.6707640551</v>
      </c>
      <c r="E51" s="509">
        <f>IF(+I14&lt;F50,I14,D51)</f>
        <v>876188.96181818179</v>
      </c>
      <c r="F51" s="510">
        <f t="shared" si="20"/>
        <v>570228.70894587331</v>
      </c>
      <c r="G51" s="511">
        <f t="shared" si="17"/>
        <v>991902.89477852674</v>
      </c>
      <c r="H51" s="477">
        <f t="shared" si="18"/>
        <v>991902.89477852674</v>
      </c>
      <c r="I51" s="500">
        <f t="shared" si="21"/>
        <v>0</v>
      </c>
      <c r="J51" s="500"/>
      <c r="K51" s="512"/>
      <c r="L51" s="504">
        <f t="shared" si="22"/>
        <v>0</v>
      </c>
      <c r="M51" s="512"/>
      <c r="N51" s="504">
        <f t="shared" si="23"/>
        <v>0</v>
      </c>
      <c r="O51" s="504">
        <f t="shared" si="24"/>
        <v>0</v>
      </c>
      <c r="P51" s="278"/>
      <c r="R51" s="243"/>
      <c r="S51" s="243"/>
      <c r="T51" s="243"/>
      <c r="U51" s="243"/>
    </row>
    <row r="52" spans="2:21">
      <c r="B52" s="145" t="str">
        <f t="shared" si="19"/>
        <v/>
      </c>
      <c r="C52" s="495">
        <f>IF(D11="","-",+C51+1)</f>
        <v>2048</v>
      </c>
      <c r="D52" s="508">
        <f>IF(F51+SUM(E$17:E51)=D$10,F51,D$10-SUM(E$17:E51))</f>
        <v>570228.70894587331</v>
      </c>
      <c r="E52" s="509">
        <f>IF(+I14&lt;F51,I14,D52)</f>
        <v>570228.70894587331</v>
      </c>
      <c r="F52" s="510">
        <f t="shared" si="20"/>
        <v>0</v>
      </c>
      <c r="G52" s="511">
        <f t="shared" si="17"/>
        <v>602948.08268581366</v>
      </c>
      <c r="H52" s="477">
        <f t="shared" si="18"/>
        <v>602948.08268581366</v>
      </c>
      <c r="I52" s="500">
        <f t="shared" si="21"/>
        <v>0</v>
      </c>
      <c r="J52" s="500"/>
      <c r="K52" s="512"/>
      <c r="L52" s="504">
        <f t="shared" si="22"/>
        <v>0</v>
      </c>
      <c r="M52" s="512"/>
      <c r="N52" s="504">
        <f t="shared" si="23"/>
        <v>0</v>
      </c>
      <c r="O52" s="504">
        <f t="shared" si="24"/>
        <v>0</v>
      </c>
      <c r="P52" s="278"/>
      <c r="R52" s="243"/>
      <c r="S52" s="243"/>
      <c r="T52" s="243"/>
      <c r="U52" s="243"/>
    </row>
    <row r="53" spans="2:21">
      <c r="B53" s="145" t="str">
        <f t="shared" si="19"/>
        <v/>
      </c>
      <c r="C53" s="495">
        <f>IF(D11="","-",+C52+1)</f>
        <v>2049</v>
      </c>
      <c r="D53" s="470">
        <f>IF(F52+SUM(E$17:E52)=D$10,F52,D$10-SUM(E$17:E52))</f>
        <v>0</v>
      </c>
      <c r="E53" s="509">
        <f>IF(+I14&lt;F52,I14,D53)</f>
        <v>0</v>
      </c>
      <c r="F53" s="510">
        <f t="shared" si="20"/>
        <v>0</v>
      </c>
      <c r="G53" s="511">
        <f t="shared" si="17"/>
        <v>0</v>
      </c>
      <c r="H53" s="477">
        <f t="shared" si="18"/>
        <v>0</v>
      </c>
      <c r="I53" s="500">
        <f t="shared" si="21"/>
        <v>0</v>
      </c>
      <c r="J53" s="500"/>
      <c r="K53" s="512"/>
      <c r="L53" s="504">
        <f t="shared" si="22"/>
        <v>0</v>
      </c>
      <c r="M53" s="512"/>
      <c r="N53" s="504">
        <f t="shared" si="23"/>
        <v>0</v>
      </c>
      <c r="O53" s="504">
        <f t="shared" si="24"/>
        <v>0</v>
      </c>
      <c r="P53" s="278"/>
      <c r="R53" s="243"/>
      <c r="S53" s="243"/>
      <c r="T53" s="243"/>
      <c r="U53" s="243"/>
    </row>
    <row r="54" spans="2:21">
      <c r="B54" s="145" t="str">
        <f t="shared" si="19"/>
        <v/>
      </c>
      <c r="C54" s="495">
        <f>IF(D11="","-",+C53+1)</f>
        <v>2050</v>
      </c>
      <c r="D54" s="508">
        <f>IF(F53+SUM(E$17:E53)=D$10,F53,D$10-SUM(E$17:E53))</f>
        <v>0</v>
      </c>
      <c r="E54" s="509">
        <f>IF(+I14&lt;F53,I14,D54)</f>
        <v>0</v>
      </c>
      <c r="F54" s="510">
        <f t="shared" si="20"/>
        <v>0</v>
      </c>
      <c r="G54" s="511">
        <f t="shared" si="17"/>
        <v>0</v>
      </c>
      <c r="H54" s="477">
        <f t="shared" si="18"/>
        <v>0</v>
      </c>
      <c r="I54" s="500">
        <f t="shared" si="21"/>
        <v>0</v>
      </c>
      <c r="J54" s="500"/>
      <c r="K54" s="512"/>
      <c r="L54" s="504">
        <f t="shared" si="22"/>
        <v>0</v>
      </c>
      <c r="M54" s="512"/>
      <c r="N54" s="504">
        <f t="shared" si="23"/>
        <v>0</v>
      </c>
      <c r="O54" s="504">
        <f t="shared" si="24"/>
        <v>0</v>
      </c>
      <c r="P54" s="278"/>
      <c r="R54" s="243"/>
      <c r="S54" s="243"/>
      <c r="T54" s="243"/>
      <c r="U54" s="243"/>
    </row>
    <row r="55" spans="2:21">
      <c r="B55" s="145" t="str">
        <f t="shared" si="19"/>
        <v/>
      </c>
      <c r="C55" s="495">
        <f>IF(D11="","-",+C54+1)</f>
        <v>2051</v>
      </c>
      <c r="D55" s="508">
        <f>IF(F54+SUM(E$17:E54)=D$10,F54,D$10-SUM(E$17:E54))</f>
        <v>0</v>
      </c>
      <c r="E55" s="509">
        <f>IF(+I14&lt;F54,I14,D55)</f>
        <v>0</v>
      </c>
      <c r="F55" s="510">
        <f t="shared" si="20"/>
        <v>0</v>
      </c>
      <c r="G55" s="511">
        <f t="shared" si="17"/>
        <v>0</v>
      </c>
      <c r="H55" s="477">
        <f t="shared" si="18"/>
        <v>0</v>
      </c>
      <c r="I55" s="500">
        <f t="shared" si="21"/>
        <v>0</v>
      </c>
      <c r="J55" s="500"/>
      <c r="K55" s="512"/>
      <c r="L55" s="504">
        <f t="shared" si="22"/>
        <v>0</v>
      </c>
      <c r="M55" s="512"/>
      <c r="N55" s="504">
        <f t="shared" si="23"/>
        <v>0</v>
      </c>
      <c r="O55" s="504">
        <f t="shared" si="24"/>
        <v>0</v>
      </c>
      <c r="P55" s="278"/>
      <c r="R55" s="243"/>
      <c r="S55" s="243"/>
      <c r="T55" s="243"/>
      <c r="U55" s="243"/>
    </row>
    <row r="56" spans="2:21">
      <c r="B56" s="145" t="str">
        <f t="shared" si="19"/>
        <v/>
      </c>
      <c r="C56" s="495">
        <f>IF(D11="","-",+C55+1)</f>
        <v>2052</v>
      </c>
      <c r="D56" s="508">
        <f>IF(F55+SUM(E$17:E55)=D$10,F55,D$10-SUM(E$17:E55))</f>
        <v>0</v>
      </c>
      <c r="E56" s="509">
        <f>IF(+I14&lt;F55,I14,D56)</f>
        <v>0</v>
      </c>
      <c r="F56" s="510">
        <f t="shared" si="20"/>
        <v>0</v>
      </c>
      <c r="G56" s="511">
        <f t="shared" si="17"/>
        <v>0</v>
      </c>
      <c r="H56" s="477">
        <f t="shared" si="18"/>
        <v>0</v>
      </c>
      <c r="I56" s="500">
        <f t="shared" si="21"/>
        <v>0</v>
      </c>
      <c r="J56" s="500"/>
      <c r="K56" s="512"/>
      <c r="L56" s="504">
        <f t="shared" si="22"/>
        <v>0</v>
      </c>
      <c r="M56" s="512"/>
      <c r="N56" s="504">
        <f t="shared" si="23"/>
        <v>0</v>
      </c>
      <c r="O56" s="504">
        <f t="shared" si="24"/>
        <v>0</v>
      </c>
      <c r="P56" s="278"/>
      <c r="R56" s="243"/>
      <c r="S56" s="243"/>
      <c r="T56" s="243"/>
      <c r="U56" s="243"/>
    </row>
    <row r="57" spans="2:21">
      <c r="B57" s="145" t="str">
        <f t="shared" si="19"/>
        <v/>
      </c>
      <c r="C57" s="495">
        <f>IF(D11="","-",+C56+1)</f>
        <v>2053</v>
      </c>
      <c r="D57" s="508">
        <f>IF(F56+SUM(E$17:E56)=D$10,F56,D$10-SUM(E$17:E56))</f>
        <v>0</v>
      </c>
      <c r="E57" s="509">
        <f>IF(+I14&lt;F56,I14,D57)</f>
        <v>0</v>
      </c>
      <c r="F57" s="510">
        <f t="shared" si="20"/>
        <v>0</v>
      </c>
      <c r="G57" s="511">
        <f t="shared" si="17"/>
        <v>0</v>
      </c>
      <c r="H57" s="477">
        <f t="shared" si="18"/>
        <v>0</v>
      </c>
      <c r="I57" s="500">
        <f t="shared" si="21"/>
        <v>0</v>
      </c>
      <c r="J57" s="500"/>
      <c r="K57" s="512"/>
      <c r="L57" s="504">
        <f t="shared" si="22"/>
        <v>0</v>
      </c>
      <c r="M57" s="512"/>
      <c r="N57" s="504">
        <f t="shared" si="23"/>
        <v>0</v>
      </c>
      <c r="O57" s="504">
        <f t="shared" si="24"/>
        <v>0</v>
      </c>
      <c r="P57" s="278"/>
      <c r="R57" s="243"/>
      <c r="S57" s="243"/>
      <c r="T57" s="243"/>
      <c r="U57" s="243"/>
    </row>
    <row r="58" spans="2:21">
      <c r="B58" s="145" t="str">
        <f t="shared" si="19"/>
        <v/>
      </c>
      <c r="C58" s="495">
        <f>IF(D11="","-",+C57+1)</f>
        <v>2054</v>
      </c>
      <c r="D58" s="508">
        <f>IF(F57+SUM(E$17:E57)=D$10,F57,D$10-SUM(E$17:E57))</f>
        <v>0</v>
      </c>
      <c r="E58" s="509">
        <f>IF(+I14&lt;F57,I14,D58)</f>
        <v>0</v>
      </c>
      <c r="F58" s="510">
        <f t="shared" si="20"/>
        <v>0</v>
      </c>
      <c r="G58" s="511">
        <f t="shared" si="17"/>
        <v>0</v>
      </c>
      <c r="H58" s="477">
        <f t="shared" si="18"/>
        <v>0</v>
      </c>
      <c r="I58" s="500">
        <f t="shared" si="21"/>
        <v>0</v>
      </c>
      <c r="J58" s="500"/>
      <c r="K58" s="512"/>
      <c r="L58" s="504">
        <f t="shared" si="22"/>
        <v>0</v>
      </c>
      <c r="M58" s="512"/>
      <c r="N58" s="504">
        <f t="shared" si="23"/>
        <v>0</v>
      </c>
      <c r="O58" s="504">
        <f t="shared" si="24"/>
        <v>0</v>
      </c>
      <c r="P58" s="278"/>
      <c r="R58" s="243"/>
      <c r="S58" s="243"/>
      <c r="T58" s="243"/>
      <c r="U58" s="243"/>
    </row>
    <row r="59" spans="2:21">
      <c r="B59" s="145" t="str">
        <f t="shared" si="19"/>
        <v/>
      </c>
      <c r="C59" s="495">
        <f>IF(D11="","-",+C58+1)</f>
        <v>2055</v>
      </c>
      <c r="D59" s="508">
        <f>IF(F58+SUM(E$17:E58)=D$10,F58,D$10-SUM(E$17:E58))</f>
        <v>0</v>
      </c>
      <c r="E59" s="509">
        <f>IF(+I14&lt;F58,I14,D59)</f>
        <v>0</v>
      </c>
      <c r="F59" s="510">
        <f t="shared" si="20"/>
        <v>0</v>
      </c>
      <c r="G59" s="511">
        <f t="shared" si="17"/>
        <v>0</v>
      </c>
      <c r="H59" s="477">
        <f t="shared" si="18"/>
        <v>0</v>
      </c>
      <c r="I59" s="500">
        <f t="shared" si="21"/>
        <v>0</v>
      </c>
      <c r="J59" s="500"/>
      <c r="K59" s="512"/>
      <c r="L59" s="504">
        <f t="shared" si="22"/>
        <v>0</v>
      </c>
      <c r="M59" s="512"/>
      <c r="N59" s="504">
        <f t="shared" si="23"/>
        <v>0</v>
      </c>
      <c r="O59" s="504">
        <f t="shared" si="24"/>
        <v>0</v>
      </c>
      <c r="P59" s="278"/>
      <c r="R59" s="243"/>
      <c r="S59" s="243"/>
      <c r="T59" s="243"/>
      <c r="U59" s="243"/>
    </row>
    <row r="60" spans="2:21">
      <c r="B60" s="145" t="str">
        <f t="shared" si="19"/>
        <v/>
      </c>
      <c r="C60" s="495">
        <f>IF(D11="","-",+C59+1)</f>
        <v>2056</v>
      </c>
      <c r="D60" s="508">
        <f>IF(F59+SUM(E$17:E59)=D$10,F59,D$10-SUM(E$17:E59))</f>
        <v>0</v>
      </c>
      <c r="E60" s="509">
        <f>IF(+I14&lt;F59,I14,D60)</f>
        <v>0</v>
      </c>
      <c r="F60" s="510">
        <f t="shared" si="20"/>
        <v>0</v>
      </c>
      <c r="G60" s="511">
        <f t="shared" si="17"/>
        <v>0</v>
      </c>
      <c r="H60" s="477">
        <f t="shared" si="18"/>
        <v>0</v>
      </c>
      <c r="I60" s="500">
        <f t="shared" si="21"/>
        <v>0</v>
      </c>
      <c r="J60" s="500"/>
      <c r="K60" s="512"/>
      <c r="L60" s="504">
        <f t="shared" si="22"/>
        <v>0</v>
      </c>
      <c r="M60" s="512"/>
      <c r="N60" s="504">
        <f t="shared" si="23"/>
        <v>0</v>
      </c>
      <c r="O60" s="504">
        <f t="shared" si="24"/>
        <v>0</v>
      </c>
      <c r="P60" s="278"/>
      <c r="R60" s="243"/>
      <c r="S60" s="243"/>
      <c r="T60" s="243"/>
      <c r="U60" s="243"/>
    </row>
    <row r="61" spans="2:21">
      <c r="B61" s="145" t="str">
        <f t="shared" si="19"/>
        <v/>
      </c>
      <c r="C61" s="495">
        <f>IF(D11="","-",+C60+1)</f>
        <v>2057</v>
      </c>
      <c r="D61" s="508">
        <f>IF(F60+SUM(E$17:E60)=D$10,F60,D$10-SUM(E$17:E60))</f>
        <v>0</v>
      </c>
      <c r="E61" s="509">
        <f>IF(+I14&lt;F60,I14,D61)</f>
        <v>0</v>
      </c>
      <c r="F61" s="510">
        <f t="shared" si="20"/>
        <v>0</v>
      </c>
      <c r="G61" s="511">
        <f t="shared" si="17"/>
        <v>0</v>
      </c>
      <c r="H61" s="477">
        <f t="shared" si="18"/>
        <v>0</v>
      </c>
      <c r="I61" s="500">
        <f t="shared" si="21"/>
        <v>0</v>
      </c>
      <c r="J61" s="500"/>
      <c r="K61" s="512"/>
      <c r="L61" s="504">
        <f t="shared" si="22"/>
        <v>0</v>
      </c>
      <c r="M61" s="512"/>
      <c r="N61" s="504">
        <f t="shared" si="23"/>
        <v>0</v>
      </c>
      <c r="O61" s="504">
        <f t="shared" si="24"/>
        <v>0</v>
      </c>
      <c r="P61" s="278"/>
      <c r="R61" s="243"/>
      <c r="S61" s="243"/>
      <c r="T61" s="243"/>
      <c r="U61" s="243"/>
    </row>
    <row r="62" spans="2:21">
      <c r="B62" s="145" t="str">
        <f t="shared" si="19"/>
        <v/>
      </c>
      <c r="C62" s="495">
        <f>IF(D11="","-",+C61+1)</f>
        <v>2058</v>
      </c>
      <c r="D62" s="508">
        <f>IF(F61+SUM(E$17:E61)=D$10,F61,D$10-SUM(E$17:E61))</f>
        <v>0</v>
      </c>
      <c r="E62" s="509">
        <f>IF(+I14&lt;F61,I14,D62)</f>
        <v>0</v>
      </c>
      <c r="F62" s="510">
        <f t="shared" si="20"/>
        <v>0</v>
      </c>
      <c r="G62" s="523">
        <f t="shared" si="17"/>
        <v>0</v>
      </c>
      <c r="H62" s="477">
        <f t="shared" si="18"/>
        <v>0</v>
      </c>
      <c r="I62" s="500">
        <f t="shared" si="21"/>
        <v>0</v>
      </c>
      <c r="J62" s="500"/>
      <c r="K62" s="512"/>
      <c r="L62" s="504">
        <f t="shared" si="22"/>
        <v>0</v>
      </c>
      <c r="M62" s="512"/>
      <c r="N62" s="504">
        <f t="shared" si="23"/>
        <v>0</v>
      </c>
      <c r="O62" s="504">
        <f t="shared" si="24"/>
        <v>0</v>
      </c>
      <c r="P62" s="278"/>
      <c r="R62" s="243"/>
      <c r="S62" s="243"/>
      <c r="T62" s="243"/>
      <c r="U62" s="243"/>
    </row>
    <row r="63" spans="2:21">
      <c r="B63" s="145" t="str">
        <f t="shared" si="19"/>
        <v/>
      </c>
      <c r="C63" s="495">
        <f>IF(D11="","-",+C62+1)</f>
        <v>2059</v>
      </c>
      <c r="D63" s="508">
        <f>IF(F62+SUM(E$17:E62)=D$10,F62,D$10-SUM(E$17:E62))</f>
        <v>0</v>
      </c>
      <c r="E63" s="509">
        <f>IF(+I14&lt;F62,I14,D63)</f>
        <v>0</v>
      </c>
      <c r="F63" s="510">
        <f t="shared" si="20"/>
        <v>0</v>
      </c>
      <c r="G63" s="523">
        <f t="shared" si="17"/>
        <v>0</v>
      </c>
      <c r="H63" s="477">
        <f t="shared" si="18"/>
        <v>0</v>
      </c>
      <c r="I63" s="500">
        <f t="shared" si="21"/>
        <v>0</v>
      </c>
      <c r="J63" s="500"/>
      <c r="K63" s="512"/>
      <c r="L63" s="504">
        <f t="shared" si="22"/>
        <v>0</v>
      </c>
      <c r="M63" s="512"/>
      <c r="N63" s="504">
        <f t="shared" si="23"/>
        <v>0</v>
      </c>
      <c r="O63" s="504">
        <f t="shared" si="24"/>
        <v>0</v>
      </c>
      <c r="P63" s="278"/>
      <c r="R63" s="243"/>
      <c r="S63" s="243"/>
      <c r="T63" s="243"/>
      <c r="U63" s="243"/>
    </row>
    <row r="64" spans="2:21">
      <c r="B64" s="145" t="str">
        <f t="shared" si="19"/>
        <v/>
      </c>
      <c r="C64" s="495">
        <f>IF(D11="","-",+C63+1)</f>
        <v>2060</v>
      </c>
      <c r="D64" s="508">
        <f>IF(F63+SUM(E$17:E63)=D$10,F63,D$10-SUM(E$17:E63))</f>
        <v>0</v>
      </c>
      <c r="E64" s="509">
        <f>IF(+I14&lt;F63,I14,D64)</f>
        <v>0</v>
      </c>
      <c r="F64" s="510">
        <f t="shared" si="20"/>
        <v>0</v>
      </c>
      <c r="G64" s="523">
        <f t="shared" si="17"/>
        <v>0</v>
      </c>
      <c r="H64" s="477">
        <f t="shared" si="18"/>
        <v>0</v>
      </c>
      <c r="I64" s="500">
        <f t="shared" si="21"/>
        <v>0</v>
      </c>
      <c r="J64" s="500"/>
      <c r="K64" s="512"/>
      <c r="L64" s="504">
        <f t="shared" si="22"/>
        <v>0</v>
      </c>
      <c r="M64" s="512"/>
      <c r="N64" s="504">
        <f t="shared" si="23"/>
        <v>0</v>
      </c>
      <c r="O64" s="504">
        <f t="shared" si="24"/>
        <v>0</v>
      </c>
      <c r="P64" s="278"/>
      <c r="R64" s="243"/>
      <c r="S64" s="243"/>
      <c r="T64" s="243"/>
      <c r="U64" s="243"/>
    </row>
    <row r="65" spans="2:21">
      <c r="B65" s="145" t="str">
        <f t="shared" si="19"/>
        <v/>
      </c>
      <c r="C65" s="495">
        <f>IF(D11="","-",+C64+1)</f>
        <v>2061</v>
      </c>
      <c r="D65" s="508">
        <f>IF(F64+SUM(E$17:E64)=D$10,F64,D$10-SUM(E$17:E64))</f>
        <v>0</v>
      </c>
      <c r="E65" s="509">
        <f>IF(+I14&lt;F64,I14,D65)</f>
        <v>0</v>
      </c>
      <c r="F65" s="510">
        <f t="shared" si="20"/>
        <v>0</v>
      </c>
      <c r="G65" s="523">
        <f t="shared" si="17"/>
        <v>0</v>
      </c>
      <c r="H65" s="477">
        <f t="shared" si="18"/>
        <v>0</v>
      </c>
      <c r="I65" s="500">
        <f t="shared" si="21"/>
        <v>0</v>
      </c>
      <c r="J65" s="500"/>
      <c r="K65" s="512"/>
      <c r="L65" s="504">
        <f t="shared" si="22"/>
        <v>0</v>
      </c>
      <c r="M65" s="512"/>
      <c r="N65" s="504">
        <f t="shared" si="23"/>
        <v>0</v>
      </c>
      <c r="O65" s="504">
        <f t="shared" si="24"/>
        <v>0</v>
      </c>
      <c r="P65" s="278"/>
      <c r="R65" s="243"/>
      <c r="S65" s="243"/>
      <c r="T65" s="243"/>
      <c r="U65" s="243"/>
    </row>
    <row r="66" spans="2:21">
      <c r="B66" s="145" t="str">
        <f t="shared" si="19"/>
        <v/>
      </c>
      <c r="C66" s="495">
        <f>IF(D11="","-",+C65+1)</f>
        <v>2062</v>
      </c>
      <c r="D66" s="508">
        <f>IF(F65+SUM(E$17:E65)=D$10,F65,D$10-SUM(E$17:E65))</f>
        <v>0</v>
      </c>
      <c r="E66" s="509">
        <f>IF(+I14&lt;F65,I14,D66)</f>
        <v>0</v>
      </c>
      <c r="F66" s="510">
        <f t="shared" si="20"/>
        <v>0</v>
      </c>
      <c r="G66" s="523">
        <f t="shared" si="17"/>
        <v>0</v>
      </c>
      <c r="H66" s="477">
        <f t="shared" si="18"/>
        <v>0</v>
      </c>
      <c r="I66" s="500">
        <f t="shared" si="21"/>
        <v>0</v>
      </c>
      <c r="J66" s="500"/>
      <c r="K66" s="512"/>
      <c r="L66" s="504">
        <f t="shared" si="22"/>
        <v>0</v>
      </c>
      <c r="M66" s="512"/>
      <c r="N66" s="504">
        <f t="shared" si="23"/>
        <v>0</v>
      </c>
      <c r="O66" s="504">
        <f t="shared" si="24"/>
        <v>0</v>
      </c>
      <c r="P66" s="278"/>
      <c r="R66" s="243"/>
      <c r="S66" s="243"/>
      <c r="T66" s="243"/>
      <c r="U66" s="243"/>
    </row>
    <row r="67" spans="2:21">
      <c r="B67" s="145" t="str">
        <f t="shared" si="19"/>
        <v/>
      </c>
      <c r="C67" s="495">
        <f>IF(D11="","-",+C66+1)</f>
        <v>2063</v>
      </c>
      <c r="D67" s="508">
        <f>IF(F66+SUM(E$17:E66)=D$10,F66,D$10-SUM(E$17:E66))</f>
        <v>0</v>
      </c>
      <c r="E67" s="509">
        <f>IF(+I14&lt;F66,I14,D67)</f>
        <v>0</v>
      </c>
      <c r="F67" s="510">
        <f t="shared" si="20"/>
        <v>0</v>
      </c>
      <c r="G67" s="523">
        <f t="shared" si="17"/>
        <v>0</v>
      </c>
      <c r="H67" s="477">
        <f t="shared" si="18"/>
        <v>0</v>
      </c>
      <c r="I67" s="500">
        <f t="shared" si="21"/>
        <v>0</v>
      </c>
      <c r="J67" s="500"/>
      <c r="K67" s="512"/>
      <c r="L67" s="504">
        <f t="shared" si="22"/>
        <v>0</v>
      </c>
      <c r="M67" s="512"/>
      <c r="N67" s="504">
        <f t="shared" si="23"/>
        <v>0</v>
      </c>
      <c r="O67" s="504">
        <f t="shared" si="24"/>
        <v>0</v>
      </c>
      <c r="P67" s="278"/>
      <c r="R67" s="243"/>
      <c r="S67" s="243"/>
      <c r="T67" s="243"/>
      <c r="U67" s="243"/>
    </row>
    <row r="68" spans="2:21">
      <c r="B68" s="145" t="str">
        <f t="shared" si="19"/>
        <v/>
      </c>
      <c r="C68" s="495">
        <f>IF(D11="","-",+C67+1)</f>
        <v>2064</v>
      </c>
      <c r="D68" s="508">
        <f>IF(F67+SUM(E$17:E67)=D$10,F67,D$10-SUM(E$17:E67))</f>
        <v>0</v>
      </c>
      <c r="E68" s="509">
        <f>IF(+I14&lt;F67,I14,D68)</f>
        <v>0</v>
      </c>
      <c r="F68" s="510">
        <f t="shared" si="20"/>
        <v>0</v>
      </c>
      <c r="G68" s="523">
        <f t="shared" si="17"/>
        <v>0</v>
      </c>
      <c r="H68" s="477">
        <f t="shared" si="18"/>
        <v>0</v>
      </c>
      <c r="I68" s="500">
        <f t="shared" si="21"/>
        <v>0</v>
      </c>
      <c r="J68" s="500"/>
      <c r="K68" s="512"/>
      <c r="L68" s="504">
        <f t="shared" si="22"/>
        <v>0</v>
      </c>
      <c r="M68" s="512"/>
      <c r="N68" s="504">
        <f t="shared" si="23"/>
        <v>0</v>
      </c>
      <c r="O68" s="504">
        <f t="shared" si="24"/>
        <v>0</v>
      </c>
      <c r="P68" s="278"/>
      <c r="R68" s="243"/>
      <c r="S68" s="243"/>
      <c r="T68" s="243"/>
      <c r="U68" s="243"/>
    </row>
    <row r="69" spans="2:21">
      <c r="B69" s="145" t="str">
        <f t="shared" si="19"/>
        <v/>
      </c>
      <c r="C69" s="495">
        <f>IF(D11="","-",+C68+1)</f>
        <v>2065</v>
      </c>
      <c r="D69" s="508">
        <f>IF(F68+SUM(E$17:E68)=D$10,F68,D$10-SUM(E$17:E68))</f>
        <v>0</v>
      </c>
      <c r="E69" s="509">
        <f>IF(+I14&lt;F68,I14,D69)</f>
        <v>0</v>
      </c>
      <c r="F69" s="510">
        <f t="shared" si="20"/>
        <v>0</v>
      </c>
      <c r="G69" s="523">
        <f t="shared" si="17"/>
        <v>0</v>
      </c>
      <c r="H69" s="477">
        <f t="shared" si="18"/>
        <v>0</v>
      </c>
      <c r="I69" s="500">
        <f t="shared" si="21"/>
        <v>0</v>
      </c>
      <c r="J69" s="500"/>
      <c r="K69" s="512"/>
      <c r="L69" s="504">
        <f t="shared" si="22"/>
        <v>0</v>
      </c>
      <c r="M69" s="512"/>
      <c r="N69" s="504">
        <f t="shared" si="23"/>
        <v>0</v>
      </c>
      <c r="O69" s="504">
        <f t="shared" si="24"/>
        <v>0</v>
      </c>
      <c r="P69" s="278"/>
      <c r="R69" s="243"/>
      <c r="S69" s="243"/>
      <c r="T69" s="243"/>
      <c r="U69" s="243"/>
    </row>
    <row r="70" spans="2:21">
      <c r="B70" s="145" t="str">
        <f t="shared" si="19"/>
        <v/>
      </c>
      <c r="C70" s="495">
        <f>IF(D11="","-",+C69+1)</f>
        <v>2066</v>
      </c>
      <c r="D70" s="508">
        <f>IF(F69+SUM(E$17:E69)=D$10,F69,D$10-SUM(E$17:E69))</f>
        <v>0</v>
      </c>
      <c r="E70" s="509">
        <f>IF(+I14&lt;F69,I14,D70)</f>
        <v>0</v>
      </c>
      <c r="F70" s="510">
        <f t="shared" si="20"/>
        <v>0</v>
      </c>
      <c r="G70" s="523">
        <f t="shared" si="17"/>
        <v>0</v>
      </c>
      <c r="H70" s="477">
        <f t="shared" si="18"/>
        <v>0</v>
      </c>
      <c r="I70" s="500">
        <f t="shared" si="21"/>
        <v>0</v>
      </c>
      <c r="J70" s="500"/>
      <c r="K70" s="512"/>
      <c r="L70" s="504">
        <f t="shared" si="22"/>
        <v>0</v>
      </c>
      <c r="M70" s="512"/>
      <c r="N70" s="504">
        <f t="shared" si="23"/>
        <v>0</v>
      </c>
      <c r="O70" s="504">
        <f t="shared" si="24"/>
        <v>0</v>
      </c>
      <c r="P70" s="278"/>
      <c r="R70" s="243"/>
      <c r="S70" s="243"/>
      <c r="T70" s="243"/>
      <c r="U70" s="243"/>
    </row>
    <row r="71" spans="2:21">
      <c r="B71" s="145" t="str">
        <f t="shared" si="19"/>
        <v/>
      </c>
      <c r="C71" s="495">
        <f>IF(D11="","-",+C70+1)</f>
        <v>2067</v>
      </c>
      <c r="D71" s="508">
        <f>IF(F70+SUM(E$17:E70)=D$10,F70,D$10-SUM(E$17:E70))</f>
        <v>0</v>
      </c>
      <c r="E71" s="509">
        <f>IF(+I14&lt;F70,I14,D71)</f>
        <v>0</v>
      </c>
      <c r="F71" s="510">
        <f t="shared" si="20"/>
        <v>0</v>
      </c>
      <c r="G71" s="523">
        <f t="shared" si="17"/>
        <v>0</v>
      </c>
      <c r="H71" s="477">
        <f t="shared" si="18"/>
        <v>0</v>
      </c>
      <c r="I71" s="500">
        <f t="shared" si="21"/>
        <v>0</v>
      </c>
      <c r="J71" s="500"/>
      <c r="K71" s="512"/>
      <c r="L71" s="504">
        <f t="shared" si="22"/>
        <v>0</v>
      </c>
      <c r="M71" s="512"/>
      <c r="N71" s="504">
        <f t="shared" si="23"/>
        <v>0</v>
      </c>
      <c r="O71" s="504">
        <f t="shared" si="24"/>
        <v>0</v>
      </c>
      <c r="P71" s="278"/>
      <c r="R71" s="243"/>
      <c r="S71" s="243"/>
      <c r="T71" s="243"/>
      <c r="U71" s="243"/>
    </row>
    <row r="72" spans="2:21">
      <c r="B72" s="145" t="str">
        <f t="shared" si="19"/>
        <v/>
      </c>
      <c r="C72" s="495">
        <f>IF(D11="","-",+C71+1)</f>
        <v>2068</v>
      </c>
      <c r="D72" s="508">
        <f>IF(F71+SUM(E$17:E71)=D$10,F71,D$10-SUM(E$17:E71))</f>
        <v>0</v>
      </c>
      <c r="E72" s="509">
        <f>IF(+I14&lt;F71,I14,D72)</f>
        <v>0</v>
      </c>
      <c r="F72" s="510">
        <f t="shared" si="20"/>
        <v>0</v>
      </c>
      <c r="G72" s="523">
        <f t="shared" si="17"/>
        <v>0</v>
      </c>
      <c r="H72" s="477">
        <f t="shared" si="18"/>
        <v>0</v>
      </c>
      <c r="I72" s="500">
        <f t="shared" si="21"/>
        <v>0</v>
      </c>
      <c r="J72" s="500"/>
      <c r="K72" s="512"/>
      <c r="L72" s="504">
        <f t="shared" si="22"/>
        <v>0</v>
      </c>
      <c r="M72" s="512"/>
      <c r="N72" s="504">
        <f t="shared" si="23"/>
        <v>0</v>
      </c>
      <c r="O72" s="504">
        <f t="shared" si="24"/>
        <v>0</v>
      </c>
      <c r="P72" s="278"/>
      <c r="R72" s="243"/>
      <c r="S72" s="243"/>
      <c r="T72" s="243"/>
      <c r="U72" s="243"/>
    </row>
    <row r="73" spans="2:21" ht="13.5" thickBot="1">
      <c r="B73" s="145" t="str">
        <f t="shared" si="19"/>
        <v/>
      </c>
      <c r="C73" s="524">
        <f>IF(D11="","-",+C72+1)</f>
        <v>2069</v>
      </c>
      <c r="D73" s="525">
        <f>IF(F72+SUM(E$17:E72)=D$10,F72,D$10-SUM(E$17:E72))</f>
        <v>0</v>
      </c>
      <c r="E73" s="526">
        <f>IF(+I14&lt;F72,I14,D73)</f>
        <v>0</v>
      </c>
      <c r="F73" s="527">
        <f t="shared" si="20"/>
        <v>0</v>
      </c>
      <c r="G73" s="528">
        <f t="shared" si="17"/>
        <v>0</v>
      </c>
      <c r="H73" s="458">
        <f t="shared" si="18"/>
        <v>0</v>
      </c>
      <c r="I73" s="529">
        <f t="shared" si="21"/>
        <v>0</v>
      </c>
      <c r="J73" s="500"/>
      <c r="K73" s="530"/>
      <c r="L73" s="531">
        <f t="shared" si="22"/>
        <v>0</v>
      </c>
      <c r="M73" s="530"/>
      <c r="N73" s="531">
        <f t="shared" si="23"/>
        <v>0</v>
      </c>
      <c r="O73" s="531">
        <f t="shared" si="24"/>
        <v>0</v>
      </c>
      <c r="P73" s="278"/>
      <c r="R73" s="243"/>
      <c r="S73" s="243"/>
      <c r="T73" s="243"/>
      <c r="U73" s="243"/>
    </row>
    <row r="74" spans="2:21">
      <c r="C74" s="349" t="s">
        <v>75</v>
      </c>
      <c r="D74" s="294"/>
      <c r="E74" s="294">
        <f>SUM(E17:E73)</f>
        <v>28914235.739999998</v>
      </c>
      <c r="F74" s="294"/>
      <c r="G74" s="294">
        <f>SUM(G17:G73)</f>
        <v>87796706.445753574</v>
      </c>
      <c r="H74" s="294">
        <f>SUM(H17:H73)</f>
        <v>87796706.445753574</v>
      </c>
      <c r="I74" s="294">
        <f>SUM(I17:I73)</f>
        <v>0</v>
      </c>
      <c r="J74" s="294"/>
      <c r="K74" s="294"/>
      <c r="L74" s="294"/>
      <c r="M74" s="294"/>
      <c r="N74" s="294"/>
      <c r="O74" s="278"/>
      <c r="P74" s="278"/>
      <c r="R74" s="243"/>
      <c r="S74" s="243"/>
      <c r="T74" s="243"/>
      <c r="U74" s="243"/>
    </row>
    <row r="75" spans="2:21">
      <c r="D75" s="292"/>
      <c r="E75" s="243"/>
      <c r="F75" s="243"/>
      <c r="G75" s="243"/>
      <c r="H75" s="325"/>
      <c r="I75" s="325"/>
      <c r="J75" s="294"/>
      <c r="K75" s="325"/>
      <c r="L75" s="325"/>
      <c r="M75" s="325"/>
      <c r="N75" s="325"/>
      <c r="O75" s="243"/>
      <c r="P75" s="243"/>
      <c r="R75" s="243"/>
      <c r="S75" s="243"/>
      <c r="T75" s="243"/>
      <c r="U75" s="243"/>
    </row>
    <row r="76" spans="2:21">
      <c r="C76" s="532" t="s">
        <v>95</v>
      </c>
      <c r="D76" s="292"/>
      <c r="E76" s="243"/>
      <c r="F76" s="243"/>
      <c r="G76" s="243"/>
      <c r="H76" s="325"/>
      <c r="I76" s="325"/>
      <c r="J76" s="294"/>
      <c r="K76" s="325"/>
      <c r="L76" s="325"/>
      <c r="M76" s="325"/>
      <c r="N76" s="325"/>
      <c r="O76" s="243"/>
      <c r="P76" s="243"/>
      <c r="R76" s="243"/>
      <c r="S76" s="243"/>
      <c r="T76" s="243"/>
      <c r="U76" s="243"/>
    </row>
    <row r="77" spans="2:21">
      <c r="C77" s="454" t="s">
        <v>76</v>
      </c>
      <c r="D77" s="292"/>
      <c r="E77" s="243"/>
      <c r="F77" s="243"/>
      <c r="G77" s="243"/>
      <c r="H77" s="325"/>
      <c r="I77" s="325"/>
      <c r="J77" s="294"/>
      <c r="K77" s="325"/>
      <c r="L77" s="325"/>
      <c r="M77" s="325"/>
      <c r="N77" s="325"/>
      <c r="O77" s="278"/>
      <c r="P77" s="278"/>
      <c r="R77" s="243"/>
      <c r="S77" s="243"/>
      <c r="T77" s="243"/>
      <c r="U77" s="243"/>
    </row>
    <row r="78" spans="2:21">
      <c r="C78" s="454" t="s">
        <v>77</v>
      </c>
      <c r="D78" s="349"/>
      <c r="E78" s="349"/>
      <c r="F78" s="349"/>
      <c r="G78" s="294"/>
      <c r="H78" s="294"/>
      <c r="I78" s="350"/>
      <c r="J78" s="350"/>
      <c r="K78" s="350"/>
      <c r="L78" s="350"/>
      <c r="M78" s="350"/>
      <c r="N78" s="350"/>
      <c r="O78" s="278"/>
      <c r="P78" s="278"/>
      <c r="R78" s="243"/>
      <c r="S78" s="243"/>
      <c r="T78" s="243"/>
      <c r="U78" s="243"/>
    </row>
    <row r="79" spans="2:21">
      <c r="C79" s="454"/>
      <c r="D79" s="349"/>
      <c r="E79" s="349"/>
      <c r="F79" s="349"/>
      <c r="G79" s="294"/>
      <c r="H79" s="294"/>
      <c r="I79" s="350"/>
      <c r="J79" s="350"/>
      <c r="K79" s="350"/>
      <c r="L79" s="350"/>
      <c r="M79" s="350"/>
      <c r="N79" s="350"/>
      <c r="O79" s="278"/>
      <c r="P79" s="243"/>
      <c r="R79" s="243"/>
      <c r="S79" s="243"/>
      <c r="T79" s="243"/>
      <c r="U79" s="243"/>
    </row>
    <row r="80" spans="2:21">
      <c r="B80" s="243"/>
      <c r="C80" s="248"/>
      <c r="D80" s="292"/>
      <c r="E80" s="243"/>
      <c r="F80" s="347"/>
      <c r="G80" s="243"/>
      <c r="H80" s="325"/>
      <c r="I80" s="243"/>
      <c r="J80" s="278"/>
      <c r="K80" s="243"/>
      <c r="L80" s="243"/>
      <c r="M80" s="243"/>
      <c r="N80" s="243"/>
      <c r="O80" s="243"/>
      <c r="P80" s="243"/>
      <c r="R80" s="243"/>
      <c r="S80" s="243"/>
      <c r="T80" s="243"/>
      <c r="U80" s="243"/>
    </row>
    <row r="81" spans="1:21" ht="18">
      <c r="B81" s="243"/>
      <c r="C81" s="535"/>
      <c r="D81" s="292"/>
      <c r="E81" s="243"/>
      <c r="F81" s="347"/>
      <c r="G81" s="243"/>
      <c r="H81" s="325"/>
      <c r="I81" s="243"/>
      <c r="J81" s="278"/>
      <c r="K81" s="243"/>
      <c r="L81" s="243"/>
      <c r="M81" s="243"/>
      <c r="N81" s="243"/>
      <c r="P81" s="536" t="s">
        <v>128</v>
      </c>
      <c r="R81" s="243"/>
      <c r="S81" s="243"/>
      <c r="T81" s="243"/>
      <c r="U81" s="243"/>
    </row>
    <row r="82" spans="1:21">
      <c r="B82" s="243"/>
      <c r="C82" s="248"/>
      <c r="D82" s="292"/>
      <c r="E82" s="243"/>
      <c r="F82" s="347"/>
      <c r="G82" s="243"/>
      <c r="H82" s="325"/>
      <c r="I82" s="243"/>
      <c r="J82" s="278"/>
      <c r="K82" s="243"/>
      <c r="L82" s="243"/>
      <c r="M82" s="243"/>
      <c r="N82" s="243"/>
      <c r="O82" s="243"/>
      <c r="P82" s="243"/>
      <c r="R82" s="243"/>
      <c r="S82" s="243"/>
      <c r="T82" s="243"/>
      <c r="U82" s="243"/>
    </row>
    <row r="83" spans="1:21">
      <c r="B83" s="243"/>
      <c r="C83" s="248"/>
      <c r="D83" s="292"/>
      <c r="E83" s="243"/>
      <c r="F83" s="347"/>
      <c r="G83" s="243"/>
      <c r="H83" s="325"/>
      <c r="I83" s="243"/>
      <c r="J83" s="278"/>
      <c r="K83" s="243"/>
      <c r="L83" s="243"/>
      <c r="M83" s="243"/>
      <c r="N83" s="243"/>
      <c r="O83" s="243"/>
      <c r="P83" s="243"/>
      <c r="Q83" s="243"/>
      <c r="R83" s="243"/>
      <c r="S83" s="243"/>
      <c r="T83" s="243"/>
      <c r="U83" s="243"/>
    </row>
    <row r="84" spans="1:21" ht="20.25">
      <c r="A84" s="437" t="s">
        <v>190</v>
      </c>
      <c r="B84" s="243"/>
      <c r="C84" s="248"/>
      <c r="D84" s="292"/>
      <c r="E84" s="243"/>
      <c r="F84" s="339"/>
      <c r="G84" s="339"/>
      <c r="H84" s="243"/>
      <c r="I84" s="325"/>
      <c r="K84" s="220"/>
      <c r="L84" s="438"/>
      <c r="M84" s="438"/>
      <c r="P84" s="533" t="str">
        <f ca="1">P1</f>
        <v>OKT Project 6 of 23</v>
      </c>
      <c r="Q84" s="243"/>
      <c r="R84" s="243"/>
      <c r="S84" s="243"/>
      <c r="T84" s="243"/>
      <c r="U84" s="243"/>
    </row>
    <row r="85" spans="1:21" ht="18">
      <c r="B85" s="243"/>
      <c r="C85" s="243"/>
      <c r="D85" s="292"/>
      <c r="E85" s="243"/>
      <c r="F85" s="243"/>
      <c r="G85" s="243"/>
      <c r="H85" s="243"/>
      <c r="I85" s="325"/>
      <c r="J85" s="243"/>
      <c r="K85" s="278"/>
      <c r="L85" s="243"/>
      <c r="M85" s="243"/>
      <c r="P85" s="441" t="s">
        <v>132</v>
      </c>
      <c r="Q85" s="243"/>
      <c r="R85" s="243"/>
      <c r="S85" s="243"/>
      <c r="T85" s="243"/>
      <c r="U85" s="243"/>
    </row>
    <row r="86" spans="1:21" ht="18.75" thickBot="1">
      <c r="B86" s="233" t="s">
        <v>42</v>
      </c>
      <c r="C86" s="537" t="s">
        <v>81</v>
      </c>
      <c r="D86" s="292"/>
      <c r="E86" s="243"/>
      <c r="F86" s="243"/>
      <c r="G86" s="243"/>
      <c r="H86" s="243"/>
      <c r="I86" s="325"/>
      <c r="J86" s="325"/>
      <c r="K86" s="294"/>
      <c r="L86" s="325"/>
      <c r="M86" s="325"/>
      <c r="N86" s="325"/>
      <c r="O86" s="294"/>
      <c r="P86" s="243"/>
      <c r="Q86" s="243"/>
      <c r="R86" s="243"/>
      <c r="S86" s="243"/>
      <c r="T86" s="243"/>
      <c r="U86" s="243"/>
    </row>
    <row r="87" spans="1:21" ht="15.75" thickBot="1">
      <c r="C87" s="304"/>
      <c r="D87" s="292"/>
      <c r="E87" s="243"/>
      <c r="F87" s="243"/>
      <c r="G87" s="243"/>
      <c r="H87" s="243"/>
      <c r="I87" s="325"/>
      <c r="J87" s="325"/>
      <c r="K87" s="294"/>
      <c r="L87" s="538">
        <f>+J93</f>
        <v>2020</v>
      </c>
      <c r="M87" s="539" t="s">
        <v>9</v>
      </c>
      <c r="N87" s="540" t="s">
        <v>134</v>
      </c>
      <c r="O87" s="541" t="s">
        <v>11</v>
      </c>
      <c r="P87" s="243"/>
      <c r="Q87" s="243"/>
      <c r="R87" s="243"/>
      <c r="S87" s="243"/>
      <c r="T87" s="243"/>
      <c r="U87" s="243"/>
    </row>
    <row r="88" spans="1:21" ht="15">
      <c r="C88" s="232" t="s">
        <v>44</v>
      </c>
      <c r="D88" s="292"/>
      <c r="E88" s="243"/>
      <c r="F88" s="243"/>
      <c r="G88" s="243"/>
      <c r="H88" s="444"/>
      <c r="I88" s="243" t="s">
        <v>45</v>
      </c>
      <c r="J88" s="243"/>
      <c r="K88" s="542"/>
      <c r="L88" s="543" t="s">
        <v>253</v>
      </c>
      <c r="M88" s="544">
        <f>IF(J93&lt;D11,0,VLOOKUP(J93,C17:O73,9))</f>
        <v>3454824.1726137344</v>
      </c>
      <c r="N88" s="544">
        <f>IF(J93&lt;D11,0,VLOOKUP(J93,C17:O73,11))</f>
        <v>3454824.1726137344</v>
      </c>
      <c r="O88" s="545">
        <f>+N88-M88</f>
        <v>0</v>
      </c>
      <c r="P88" s="243"/>
      <c r="Q88" s="243"/>
      <c r="R88" s="243"/>
      <c r="S88" s="243"/>
      <c r="T88" s="243"/>
      <c r="U88" s="243"/>
    </row>
    <row r="89" spans="1:21" ht="15.75">
      <c r="C89" s="235"/>
      <c r="D89" s="292"/>
      <c r="E89" s="243"/>
      <c r="F89" s="243"/>
      <c r="G89" s="243"/>
      <c r="H89" s="243"/>
      <c r="I89" s="449"/>
      <c r="J89" s="449"/>
      <c r="K89" s="546"/>
      <c r="L89" s="547" t="s">
        <v>254</v>
      </c>
      <c r="M89" s="548">
        <f>IF(J93&lt;D11,0,VLOOKUP(J93,C100:P155,6))</f>
        <v>3620514.584021511</v>
      </c>
      <c r="N89" s="548">
        <f>IF(J93&lt;D11,0,VLOOKUP(J93,C100:P155,7))</f>
        <v>3620514.584021511</v>
      </c>
      <c r="O89" s="549">
        <f>+N89-M89</f>
        <v>0</v>
      </c>
      <c r="P89" s="243"/>
      <c r="Q89" s="243"/>
      <c r="R89" s="243"/>
      <c r="S89" s="243"/>
      <c r="T89" s="243"/>
      <c r="U89" s="243"/>
    </row>
    <row r="90" spans="1:21" ht="13.5" thickBot="1">
      <c r="C90" s="454" t="s">
        <v>82</v>
      </c>
      <c r="D90" s="550" t="str">
        <f>+D7</f>
        <v xml:space="preserve">Canadian River - McAlester City 138 kV Line Conversion </v>
      </c>
      <c r="E90" s="243"/>
      <c r="F90" s="243"/>
      <c r="G90" s="243"/>
      <c r="H90" s="243"/>
      <c r="I90" s="325"/>
      <c r="J90" s="325"/>
      <c r="K90" s="551"/>
      <c r="L90" s="552" t="s">
        <v>135</v>
      </c>
      <c r="M90" s="553">
        <f>+M89-M88</f>
        <v>165690.41140777664</v>
      </c>
      <c r="N90" s="553">
        <f>+N89-N88</f>
        <v>165690.41140777664</v>
      </c>
      <c r="O90" s="554">
        <f>+O89-O88</f>
        <v>0</v>
      </c>
      <c r="P90" s="243"/>
      <c r="Q90" s="243"/>
      <c r="R90" s="243"/>
      <c r="S90" s="243"/>
      <c r="T90" s="243"/>
      <c r="U90" s="243"/>
    </row>
    <row r="91" spans="1:21" ht="13.5" thickBot="1">
      <c r="C91" s="532"/>
      <c r="D91" s="555" t="str">
        <f>IF(D8="","",D8)</f>
        <v/>
      </c>
      <c r="E91" s="347"/>
      <c r="F91" s="347"/>
      <c r="G91" s="347"/>
      <c r="H91" s="461"/>
      <c r="I91" s="325"/>
      <c r="J91" s="325"/>
      <c r="K91" s="294"/>
      <c r="L91" s="325"/>
      <c r="M91" s="325"/>
      <c r="N91" s="325"/>
      <c r="O91" s="294"/>
      <c r="P91" s="243"/>
      <c r="Q91" s="243"/>
      <c r="R91" s="243"/>
      <c r="S91" s="243"/>
      <c r="T91" s="243"/>
      <c r="U91" s="243"/>
    </row>
    <row r="92" spans="1:21" ht="13.5" thickBot="1">
      <c r="A92" s="152"/>
      <c r="C92" s="556" t="s">
        <v>83</v>
      </c>
      <c r="D92" s="557" t="str">
        <f>+D9</f>
        <v>TP2009095</v>
      </c>
      <c r="E92" s="558"/>
      <c r="F92" s="558"/>
      <c r="G92" s="558"/>
      <c r="H92" s="558"/>
      <c r="I92" s="558"/>
      <c r="J92" s="558"/>
      <c r="K92" s="560"/>
      <c r="P92" s="468"/>
      <c r="Q92" s="243"/>
      <c r="R92" s="243"/>
      <c r="S92" s="243"/>
      <c r="T92" s="243"/>
      <c r="U92" s="243"/>
    </row>
    <row r="93" spans="1:21">
      <c r="C93" s="472" t="s">
        <v>49</v>
      </c>
      <c r="D93" s="598">
        <f>D10</f>
        <v>28914235.739999998</v>
      </c>
      <c r="E93" s="248" t="s">
        <v>84</v>
      </c>
      <c r="H93" s="408"/>
      <c r="I93" s="408"/>
      <c r="J93" s="471">
        <f>+'OKT.WS.G.BPU.ATRR.True-up'!M16</f>
        <v>2020</v>
      </c>
      <c r="K93" s="467"/>
      <c r="L93" s="294" t="s">
        <v>85</v>
      </c>
      <c r="P93" s="278"/>
      <c r="Q93" s="243"/>
      <c r="R93" s="243"/>
      <c r="S93" s="243"/>
      <c r="T93" s="243"/>
      <c r="U93" s="243"/>
    </row>
    <row r="94" spans="1:21">
      <c r="C94" s="472" t="s">
        <v>52</v>
      </c>
      <c r="D94" s="561">
        <v>2013</v>
      </c>
      <c r="E94" s="472" t="s">
        <v>53</v>
      </c>
      <c r="F94" s="408"/>
      <c r="G94" s="408"/>
      <c r="J94" s="474">
        <f>IF(H88="",0,'OKT.WS.G.BPU.ATRR.True-up'!$F$13)</f>
        <v>0</v>
      </c>
      <c r="K94" s="475"/>
      <c r="L94" s="145" t="str">
        <f>"          INPUT TRUE-UP ARR (WITH &amp; WITHOUT INCENTIVES) FROM EACH PRIOR YEAR"</f>
        <v xml:space="preserve">          INPUT TRUE-UP ARR (WITH &amp; WITHOUT INCENTIVES) FROM EACH PRIOR YEAR</v>
      </c>
      <c r="P94" s="278"/>
      <c r="Q94" s="243"/>
      <c r="R94" s="243"/>
      <c r="S94" s="243"/>
      <c r="T94" s="243"/>
      <c r="U94" s="243"/>
    </row>
    <row r="95" spans="1:21">
      <c r="C95" s="472" t="s">
        <v>54</v>
      </c>
      <c r="D95" s="561">
        <v>8</v>
      </c>
      <c r="E95" s="472" t="s">
        <v>55</v>
      </c>
      <c r="F95" s="408"/>
      <c r="G95" s="408"/>
      <c r="J95" s="476">
        <f>'OKT.WS.G.BPU.ATRR.True-up'!$F$81</f>
        <v>0.11475877389767174</v>
      </c>
      <c r="K95" s="413"/>
      <c r="L95" s="145" t="s">
        <v>86</v>
      </c>
      <c r="P95" s="278"/>
      <c r="Q95" s="243"/>
      <c r="R95" s="243"/>
      <c r="S95" s="243"/>
      <c r="T95" s="243"/>
      <c r="U95" s="243"/>
    </row>
    <row r="96" spans="1:21">
      <c r="C96" s="472" t="s">
        <v>57</v>
      </c>
      <c r="D96" s="474">
        <f>'OKT.WS.G.BPU.ATRR.True-up'!F$93</f>
        <v>21</v>
      </c>
      <c r="E96" s="472" t="s">
        <v>58</v>
      </c>
      <c r="F96" s="408"/>
      <c r="G96" s="408"/>
      <c r="J96" s="476">
        <f>IF(H88="",J95,'OKT.WS.G.BPU.ATRR.True-up'!$F$80)</f>
        <v>0.11475877389767174</v>
      </c>
      <c r="K96" s="291"/>
      <c r="L96" s="294" t="s">
        <v>59</v>
      </c>
      <c r="M96" s="291"/>
      <c r="N96" s="291"/>
      <c r="O96" s="291"/>
      <c r="P96" s="278"/>
      <c r="Q96" s="243"/>
      <c r="R96" s="243"/>
      <c r="S96" s="243"/>
      <c r="T96" s="243"/>
      <c r="U96" s="243"/>
    </row>
    <row r="97" spans="1:21" ht="13.5" thickBot="1">
      <c r="C97" s="472" t="s">
        <v>60</v>
      </c>
      <c r="D97" s="562" t="str">
        <f>+D14</f>
        <v>No</v>
      </c>
      <c r="E97" s="563" t="s">
        <v>62</v>
      </c>
      <c r="F97" s="564"/>
      <c r="G97" s="564"/>
      <c r="H97" s="565"/>
      <c r="I97" s="565"/>
      <c r="J97" s="458">
        <f>IF(D93=0,0,D93/D96)</f>
        <v>1376868.3685714286</v>
      </c>
      <c r="K97" s="294"/>
      <c r="L97" s="294"/>
      <c r="M97" s="294"/>
      <c r="N97" s="294"/>
      <c r="O97" s="294"/>
      <c r="P97" s="278"/>
      <c r="Q97" s="243"/>
      <c r="R97" s="243"/>
      <c r="S97" s="243"/>
      <c r="T97" s="243"/>
      <c r="U97" s="243"/>
    </row>
    <row r="98" spans="1:21" ht="38.25">
      <c r="A98" s="381"/>
      <c r="B98" s="381"/>
      <c r="C98" s="566" t="s">
        <v>49</v>
      </c>
      <c r="D98" s="567" t="s">
        <v>193</v>
      </c>
      <c r="E98" s="485" t="s">
        <v>63</v>
      </c>
      <c r="F98" s="485" t="s">
        <v>64</v>
      </c>
      <c r="G98" s="480" t="s">
        <v>87</v>
      </c>
      <c r="H98" s="481" t="s">
        <v>251</v>
      </c>
      <c r="I98" s="482" t="s">
        <v>252</v>
      </c>
      <c r="J98" s="566" t="s">
        <v>88</v>
      </c>
      <c r="K98" s="568"/>
      <c r="L98" s="479" t="s">
        <v>177</v>
      </c>
      <c r="M98" s="485" t="s">
        <v>89</v>
      </c>
      <c r="N98" s="479" t="s">
        <v>177</v>
      </c>
      <c r="O98" s="485" t="s">
        <v>89</v>
      </c>
      <c r="P98" s="485" t="s">
        <v>67</v>
      </c>
      <c r="Q98" s="243"/>
      <c r="R98" s="243"/>
      <c r="S98" s="243"/>
      <c r="T98" s="243"/>
      <c r="U98" s="243"/>
    </row>
    <row r="99" spans="1:21" ht="13.5" thickBot="1">
      <c r="C99" s="486" t="s">
        <v>68</v>
      </c>
      <c r="D99" s="569" t="s">
        <v>69</v>
      </c>
      <c r="E99" s="486" t="s">
        <v>70</v>
      </c>
      <c r="F99" s="486" t="s">
        <v>69</v>
      </c>
      <c r="G99" s="486" t="s">
        <v>69</v>
      </c>
      <c r="H99" s="570" t="s">
        <v>71</v>
      </c>
      <c r="I99" s="489" t="s">
        <v>72</v>
      </c>
      <c r="J99" s="490" t="s">
        <v>93</v>
      </c>
      <c r="K99" s="491"/>
      <c r="L99" s="492" t="s">
        <v>74</v>
      </c>
      <c r="M99" s="492" t="s">
        <v>74</v>
      </c>
      <c r="N99" s="492" t="s">
        <v>94</v>
      </c>
      <c r="O99" s="492" t="s">
        <v>94</v>
      </c>
      <c r="P99" s="492" t="s">
        <v>94</v>
      </c>
      <c r="Q99" s="243"/>
      <c r="R99" s="243"/>
      <c r="S99" s="243"/>
      <c r="T99" s="243"/>
      <c r="U99" s="243"/>
    </row>
    <row r="100" spans="1:21">
      <c r="B100" s="145" t="str">
        <f t="shared" ref="B100:B131" si="25">IF(D100=F99,"","IU")</f>
        <v>IU</v>
      </c>
      <c r="C100" s="495">
        <f>IF(D94= "","-",D94)</f>
        <v>2013</v>
      </c>
      <c r="D100" s="496">
        <v>0</v>
      </c>
      <c r="E100" s="498">
        <v>85919.706896551725</v>
      </c>
      <c r="F100" s="505">
        <v>9880766.293103449</v>
      </c>
      <c r="G100" s="571">
        <v>4940383.1465517245</v>
      </c>
      <c r="H100" s="571">
        <v>586624.79406989401</v>
      </c>
      <c r="I100" s="571">
        <v>586624.79406989401</v>
      </c>
      <c r="J100" s="504">
        <v>0</v>
      </c>
      <c r="K100" s="504"/>
      <c r="L100" s="501">
        <f t="shared" ref="L100:L105" si="26">H100</f>
        <v>586624.79406989401</v>
      </c>
      <c r="M100" s="503">
        <f t="shared" ref="M100:M105" si="27">IF(L100&lt;&gt;0,+H100-L100,0)</f>
        <v>0</v>
      </c>
      <c r="N100" s="501">
        <f t="shared" ref="N100:N105" si="28">I100</f>
        <v>586624.79406989401</v>
      </c>
      <c r="O100" s="503">
        <f>IF(N100&lt;&gt;0,+I100-N100,0)</f>
        <v>0</v>
      </c>
      <c r="P100" s="503">
        <f>+O100-M100</f>
        <v>0</v>
      </c>
      <c r="Q100" s="243"/>
      <c r="R100" s="243"/>
      <c r="S100" s="243"/>
      <c r="T100" s="243"/>
      <c r="U100" s="243"/>
    </row>
    <row r="101" spans="1:21">
      <c r="B101" s="145" t="str">
        <f t="shared" si="25"/>
        <v>IU</v>
      </c>
      <c r="C101" s="495">
        <f>IF(D94="","-",+C100+1)</f>
        <v>2014</v>
      </c>
      <c r="D101" s="496">
        <v>28596480.293103449</v>
      </c>
      <c r="E101" s="498">
        <v>494524.13793103449</v>
      </c>
      <c r="F101" s="505">
        <v>28101956.155172415</v>
      </c>
      <c r="G101" s="505">
        <v>28349218.224137932</v>
      </c>
      <c r="H101" s="498">
        <v>3716695.0108773164</v>
      </c>
      <c r="I101" s="499">
        <v>3716695.0108773164</v>
      </c>
      <c r="J101" s="504">
        <v>0</v>
      </c>
      <c r="K101" s="504"/>
      <c r="L101" s="506">
        <f t="shared" si="26"/>
        <v>3716695.0108773164</v>
      </c>
      <c r="M101" s="504">
        <f t="shared" si="27"/>
        <v>0</v>
      </c>
      <c r="N101" s="506">
        <f t="shared" si="28"/>
        <v>3716695.0108773164</v>
      </c>
      <c r="O101" s="504">
        <f>IF(N101&lt;&gt;0,+I101-N101,0)</f>
        <v>0</v>
      </c>
      <c r="P101" s="504">
        <f>+O101-M101</f>
        <v>0</v>
      </c>
      <c r="Q101" s="243"/>
      <c r="R101" s="243"/>
      <c r="S101" s="243"/>
      <c r="T101" s="243"/>
      <c r="U101" s="243"/>
    </row>
    <row r="102" spans="1:21">
      <c r="B102" s="145" t="str">
        <f t="shared" si="25"/>
        <v>IU</v>
      </c>
      <c r="C102" s="495">
        <f>IF(D94="","-",+C101+1)</f>
        <v>2015</v>
      </c>
      <c r="D102" s="496">
        <v>28333791.895172413</v>
      </c>
      <c r="E102" s="498">
        <v>602379.91125</v>
      </c>
      <c r="F102" s="505">
        <v>27731411.983922414</v>
      </c>
      <c r="G102" s="505">
        <v>28032601.939547412</v>
      </c>
      <c r="H102" s="498">
        <v>3723233.4671503431</v>
      </c>
      <c r="I102" s="499">
        <v>3723233.4671503431</v>
      </c>
      <c r="J102" s="504">
        <v>0</v>
      </c>
      <c r="K102" s="504"/>
      <c r="L102" s="506">
        <f t="shared" si="26"/>
        <v>3723233.4671503431</v>
      </c>
      <c r="M102" s="504">
        <f t="shared" si="27"/>
        <v>0</v>
      </c>
      <c r="N102" s="506">
        <f t="shared" si="28"/>
        <v>3723233.4671503431</v>
      </c>
      <c r="O102" s="504">
        <f t="shared" ref="O102:O131" si="29">IF(N102&lt;&gt;0,+I102-N102,0)</f>
        <v>0</v>
      </c>
      <c r="P102" s="504">
        <f t="shared" ref="P102:P131" si="30">+O102-M102</f>
        <v>0</v>
      </c>
      <c r="Q102" s="243"/>
      <c r="R102" s="243"/>
      <c r="S102" s="243"/>
      <c r="T102" s="243"/>
      <c r="U102" s="243"/>
    </row>
    <row r="103" spans="1:21">
      <c r="B103" s="145" t="str">
        <f t="shared" si="25"/>
        <v/>
      </c>
      <c r="C103" s="495">
        <f>IF(D94="","-",+C102+1)</f>
        <v>2016</v>
      </c>
      <c r="D103" s="496">
        <v>27731411.983922414</v>
      </c>
      <c r="E103" s="498">
        <v>566945.79882352939</v>
      </c>
      <c r="F103" s="505">
        <v>27164466.185098886</v>
      </c>
      <c r="G103" s="505">
        <v>27447939.08451065</v>
      </c>
      <c r="H103" s="498">
        <v>3541464.1194634419</v>
      </c>
      <c r="I103" s="499">
        <v>3541464.1194634419</v>
      </c>
      <c r="J103" s="504">
        <f t="shared" ref="J103:J131" si="31">+I103-H103</f>
        <v>0</v>
      </c>
      <c r="K103" s="504"/>
      <c r="L103" s="506">
        <f t="shared" si="26"/>
        <v>3541464.1194634419</v>
      </c>
      <c r="M103" s="504">
        <f t="shared" si="27"/>
        <v>0</v>
      </c>
      <c r="N103" s="506">
        <f t="shared" si="28"/>
        <v>3541464.1194634419</v>
      </c>
      <c r="O103" s="504">
        <f>IF(N103&lt;&gt;0,+I103-N103,0)</f>
        <v>0</v>
      </c>
      <c r="P103" s="504">
        <f>+O103-M103</f>
        <v>0</v>
      </c>
      <c r="Q103" s="243"/>
      <c r="R103" s="243"/>
      <c r="S103" s="243"/>
      <c r="T103" s="243"/>
      <c r="U103" s="243"/>
    </row>
    <row r="104" spans="1:21">
      <c r="B104" s="145" t="str">
        <f t="shared" si="25"/>
        <v/>
      </c>
      <c r="C104" s="495">
        <f>IF(D94="","-",+C103+1)</f>
        <v>2017</v>
      </c>
      <c r="D104" s="496">
        <v>27164466.185098886</v>
      </c>
      <c r="E104" s="498">
        <v>722855.89350000001</v>
      </c>
      <c r="F104" s="505">
        <v>26441610.291598886</v>
      </c>
      <c r="G104" s="505">
        <v>26803038.238348886</v>
      </c>
      <c r="H104" s="498">
        <v>3867813.548691513</v>
      </c>
      <c r="I104" s="499">
        <v>3867813.548691513</v>
      </c>
      <c r="J104" s="504">
        <f t="shared" si="31"/>
        <v>0</v>
      </c>
      <c r="K104" s="504"/>
      <c r="L104" s="506">
        <f t="shared" si="26"/>
        <v>3867813.548691513</v>
      </c>
      <c r="M104" s="504">
        <f t="shared" si="27"/>
        <v>0</v>
      </c>
      <c r="N104" s="506">
        <f t="shared" si="28"/>
        <v>3867813.548691513</v>
      </c>
      <c r="O104" s="504">
        <f>IF(N104&lt;&gt;0,+I104-N104,0)</f>
        <v>0</v>
      </c>
      <c r="P104" s="504">
        <f>+O104-M104</f>
        <v>0</v>
      </c>
      <c r="Q104" s="243"/>
      <c r="R104" s="243"/>
      <c r="S104" s="243"/>
      <c r="T104" s="243"/>
      <c r="U104" s="243"/>
    </row>
    <row r="105" spans="1:21">
      <c r="B105" s="145" t="str">
        <f t="shared" si="25"/>
        <v/>
      </c>
      <c r="C105" s="495">
        <f>IF(D94="","-",+C104+1)</f>
        <v>2018</v>
      </c>
      <c r="D105" s="496">
        <v>26441610.291598886</v>
      </c>
      <c r="E105" s="498">
        <v>803173.21499999997</v>
      </c>
      <c r="F105" s="505">
        <v>25638437.076598886</v>
      </c>
      <c r="G105" s="505">
        <v>26040023.684098884</v>
      </c>
      <c r="H105" s="498">
        <v>3552021.8896915987</v>
      </c>
      <c r="I105" s="499">
        <v>3552021.8896915987</v>
      </c>
      <c r="J105" s="504">
        <f t="shared" si="31"/>
        <v>0</v>
      </c>
      <c r="K105" s="504"/>
      <c r="L105" s="506">
        <f t="shared" si="26"/>
        <v>3552021.8896915987</v>
      </c>
      <c r="M105" s="504">
        <f t="shared" si="27"/>
        <v>0</v>
      </c>
      <c r="N105" s="506">
        <f t="shared" si="28"/>
        <v>3552021.8896915987</v>
      </c>
      <c r="O105" s="504">
        <f>IF(N105&lt;&gt;0,+I105-N105,0)</f>
        <v>0</v>
      </c>
      <c r="P105" s="504">
        <f>+O105-M105</f>
        <v>0</v>
      </c>
      <c r="Q105" s="243"/>
      <c r="R105" s="243"/>
      <c r="S105" s="243"/>
      <c r="T105" s="243"/>
      <c r="U105" s="243"/>
    </row>
    <row r="106" spans="1:21">
      <c r="B106" s="145" t="str">
        <f t="shared" si="25"/>
        <v/>
      </c>
      <c r="C106" s="495">
        <f>IF(D94="","-",+C105+1)</f>
        <v>2019</v>
      </c>
      <c r="D106" s="496">
        <v>25638437.076598886</v>
      </c>
      <c r="E106" s="498">
        <v>803173.21499999997</v>
      </c>
      <c r="F106" s="505">
        <v>24835263.861598887</v>
      </c>
      <c r="G106" s="505">
        <v>25236850.469098888</v>
      </c>
      <c r="H106" s="498">
        <v>3467236.9580654148</v>
      </c>
      <c r="I106" s="499">
        <v>3467236.9580654148</v>
      </c>
      <c r="J106" s="504">
        <f t="shared" si="31"/>
        <v>0</v>
      </c>
      <c r="K106" s="504"/>
      <c r="L106" s="506">
        <f t="shared" ref="L106:L107" si="32">H106</f>
        <v>3467236.9580654148</v>
      </c>
      <c r="M106" s="504">
        <f t="shared" ref="M106:M107" si="33">IF(L106&lt;&gt;0,+H106-L106,0)</f>
        <v>0</v>
      </c>
      <c r="N106" s="506">
        <f t="shared" ref="N106:N107" si="34">I106</f>
        <v>3467236.9580654148</v>
      </c>
      <c r="O106" s="504">
        <f>IF(N106&lt;&gt;0,+I106-N106,0)</f>
        <v>0</v>
      </c>
      <c r="P106" s="504">
        <f t="shared" si="30"/>
        <v>0</v>
      </c>
      <c r="Q106" s="243"/>
      <c r="R106" s="243"/>
      <c r="S106" s="243"/>
      <c r="T106" s="243"/>
      <c r="U106" s="243"/>
    </row>
    <row r="107" spans="1:21">
      <c r="B107" s="145" t="str">
        <f t="shared" si="25"/>
        <v/>
      </c>
      <c r="C107" s="495">
        <f>IF(D94="","-",+C106+1)</f>
        <v>2020</v>
      </c>
      <c r="D107" s="496">
        <v>24835263.861598887</v>
      </c>
      <c r="E107" s="498">
        <v>1032651.2764285713</v>
      </c>
      <c r="F107" s="505">
        <v>23802612.585170314</v>
      </c>
      <c r="G107" s="505">
        <v>24318938.2233846</v>
      </c>
      <c r="H107" s="498">
        <v>3620514.584021511</v>
      </c>
      <c r="I107" s="499">
        <v>3620514.584021511</v>
      </c>
      <c r="J107" s="504">
        <f t="shared" si="31"/>
        <v>0</v>
      </c>
      <c r="K107" s="504"/>
      <c r="L107" s="506">
        <f t="shared" si="32"/>
        <v>3620514.584021511</v>
      </c>
      <c r="M107" s="504">
        <f t="shared" si="33"/>
        <v>0</v>
      </c>
      <c r="N107" s="506">
        <f t="shared" si="34"/>
        <v>3620514.584021511</v>
      </c>
      <c r="O107" s="504">
        <f>IF(N107&lt;&gt;0,+I107-N107,0)</f>
        <v>0</v>
      </c>
      <c r="P107" s="504">
        <f t="shared" si="30"/>
        <v>0</v>
      </c>
      <c r="Q107" s="243"/>
      <c r="R107" s="243"/>
      <c r="S107" s="243"/>
      <c r="T107" s="243"/>
      <c r="U107" s="243"/>
    </row>
    <row r="108" spans="1:21">
      <c r="B108" s="145" t="str">
        <f t="shared" si="25"/>
        <v/>
      </c>
      <c r="C108" s="495">
        <f>IF(D94="","-",+C107+1)</f>
        <v>2021</v>
      </c>
      <c r="D108" s="349">
        <f>IF(F107+SUM(E$100:E107)=D$93,F107,D$93-SUM(E$100:E107))</f>
        <v>23802612.585170314</v>
      </c>
      <c r="E108" s="509">
        <f>IF(+J97&lt;F107,J97,D108)</f>
        <v>1376868.3685714286</v>
      </c>
      <c r="F108" s="510">
        <f t="shared" ref="F108:F132" si="35">+D108-E108</f>
        <v>22425744.216598883</v>
      </c>
      <c r="G108" s="510">
        <f t="shared" ref="G108:G131" si="36">+(F108+D108)/2</f>
        <v>23114178.400884598</v>
      </c>
      <c r="H108" s="523">
        <f t="shared" ref="H108:H131" si="37">+J$95*G108+E108</f>
        <v>4029423.1415089918</v>
      </c>
      <c r="I108" s="572">
        <f t="shared" ref="I108:I131" si="38">+J$96*G108+E108</f>
        <v>4029423.1415089918</v>
      </c>
      <c r="J108" s="504">
        <f t="shared" si="31"/>
        <v>0</v>
      </c>
      <c r="K108" s="504"/>
      <c r="L108" s="512"/>
      <c r="M108" s="504">
        <f t="shared" ref="M108:M131" si="39">IF(L108&lt;&gt;0,+H108-L108,0)</f>
        <v>0</v>
      </c>
      <c r="N108" s="512"/>
      <c r="O108" s="504">
        <f t="shared" si="29"/>
        <v>0</v>
      </c>
      <c r="P108" s="504">
        <f t="shared" si="30"/>
        <v>0</v>
      </c>
      <c r="Q108" s="243"/>
      <c r="R108" s="243"/>
      <c r="S108" s="243"/>
      <c r="T108" s="243"/>
      <c r="U108" s="243"/>
    </row>
    <row r="109" spans="1:21">
      <c r="B109" s="145" t="str">
        <f t="shared" si="25"/>
        <v/>
      </c>
      <c r="C109" s="495">
        <f>IF(D94="","-",+C108+1)</f>
        <v>2022</v>
      </c>
      <c r="D109" s="349">
        <f>IF(F108+SUM(E$100:E108)=D$93,F108,D$93-SUM(E$100:E108))</f>
        <v>22425744.216598883</v>
      </c>
      <c r="E109" s="509">
        <f>IF(+J97&lt;F108,J97,D109)</f>
        <v>1376868.3685714286</v>
      </c>
      <c r="F109" s="510">
        <f t="shared" si="35"/>
        <v>21048875.848027453</v>
      </c>
      <c r="G109" s="510">
        <f t="shared" si="36"/>
        <v>21737310.032313168</v>
      </c>
      <c r="H109" s="523">
        <f t="shared" si="37"/>
        <v>3871415.4157132469</v>
      </c>
      <c r="I109" s="572">
        <f t="shared" si="38"/>
        <v>3871415.4157132469</v>
      </c>
      <c r="J109" s="504">
        <f t="shared" si="31"/>
        <v>0</v>
      </c>
      <c r="K109" s="504"/>
      <c r="L109" s="512"/>
      <c r="M109" s="504">
        <f t="shared" si="39"/>
        <v>0</v>
      </c>
      <c r="N109" s="512"/>
      <c r="O109" s="504">
        <f t="shared" si="29"/>
        <v>0</v>
      </c>
      <c r="P109" s="504">
        <f t="shared" si="30"/>
        <v>0</v>
      </c>
      <c r="Q109" s="243"/>
      <c r="R109" s="243"/>
      <c r="S109" s="243"/>
      <c r="T109" s="243"/>
      <c r="U109" s="243"/>
    </row>
    <row r="110" spans="1:21">
      <c r="B110" s="145" t="str">
        <f t="shared" si="25"/>
        <v/>
      </c>
      <c r="C110" s="495">
        <f>IF(D94="","-",+C109+1)</f>
        <v>2023</v>
      </c>
      <c r="D110" s="349">
        <f>IF(F109+SUM(E$100:E109)=D$93,F109,D$93-SUM(E$100:E109))</f>
        <v>21048875.848027453</v>
      </c>
      <c r="E110" s="509">
        <f>IF(+J97&lt;F109,J97,D110)</f>
        <v>1376868.3685714286</v>
      </c>
      <c r="F110" s="510">
        <f t="shared" si="35"/>
        <v>19672007.479456022</v>
      </c>
      <c r="G110" s="510">
        <f t="shared" si="36"/>
        <v>20360441.663741738</v>
      </c>
      <c r="H110" s="523">
        <f t="shared" si="37"/>
        <v>3713407.689917502</v>
      </c>
      <c r="I110" s="572">
        <f t="shared" si="38"/>
        <v>3713407.689917502</v>
      </c>
      <c r="J110" s="504">
        <f t="shared" si="31"/>
        <v>0</v>
      </c>
      <c r="K110" s="504"/>
      <c r="L110" s="512"/>
      <c r="M110" s="504">
        <f t="shared" si="39"/>
        <v>0</v>
      </c>
      <c r="N110" s="512"/>
      <c r="O110" s="504">
        <f t="shared" si="29"/>
        <v>0</v>
      </c>
      <c r="P110" s="504">
        <f t="shared" si="30"/>
        <v>0</v>
      </c>
      <c r="Q110" s="243"/>
      <c r="R110" s="243"/>
      <c r="S110" s="243"/>
      <c r="T110" s="243"/>
      <c r="U110" s="243"/>
    </row>
    <row r="111" spans="1:21">
      <c r="B111" s="145" t="str">
        <f t="shared" si="25"/>
        <v/>
      </c>
      <c r="C111" s="495">
        <f>IF(D94="","-",+C110+1)</f>
        <v>2024</v>
      </c>
      <c r="D111" s="349">
        <f>IF(F110+SUM(E$100:E110)=D$93,F110,D$93-SUM(E$100:E110))</f>
        <v>19672007.479456022</v>
      </c>
      <c r="E111" s="509">
        <f>IF(+J97&lt;F110,J97,D111)</f>
        <v>1376868.3685714286</v>
      </c>
      <c r="F111" s="510">
        <f t="shared" si="35"/>
        <v>18295139.110884592</v>
      </c>
      <c r="G111" s="510">
        <f t="shared" si="36"/>
        <v>18983573.295170307</v>
      </c>
      <c r="H111" s="523">
        <f t="shared" si="37"/>
        <v>3555399.9641217571</v>
      </c>
      <c r="I111" s="572">
        <f t="shared" si="38"/>
        <v>3555399.9641217571</v>
      </c>
      <c r="J111" s="504">
        <f t="shared" si="31"/>
        <v>0</v>
      </c>
      <c r="K111" s="504"/>
      <c r="L111" s="512"/>
      <c r="M111" s="504">
        <f t="shared" si="39"/>
        <v>0</v>
      </c>
      <c r="N111" s="512"/>
      <c r="O111" s="504">
        <f t="shared" si="29"/>
        <v>0</v>
      </c>
      <c r="P111" s="504">
        <f t="shared" si="30"/>
        <v>0</v>
      </c>
      <c r="Q111" s="243"/>
      <c r="R111" s="243"/>
      <c r="S111" s="243"/>
      <c r="T111" s="243"/>
      <c r="U111" s="243"/>
    </row>
    <row r="112" spans="1:21">
      <c r="B112" s="145" t="str">
        <f t="shared" si="25"/>
        <v/>
      </c>
      <c r="C112" s="495">
        <f>IF(D94="","-",+C111+1)</f>
        <v>2025</v>
      </c>
      <c r="D112" s="349">
        <f>IF(F111+SUM(E$100:E111)=D$93,F111,D$93-SUM(E$100:E111))</f>
        <v>18295139.110884592</v>
      </c>
      <c r="E112" s="509">
        <f>IF(+J97&lt;F111,J97,D112)</f>
        <v>1376868.3685714286</v>
      </c>
      <c r="F112" s="510">
        <f t="shared" si="35"/>
        <v>16918270.742313161</v>
      </c>
      <c r="G112" s="510">
        <f t="shared" si="36"/>
        <v>17606704.926598877</v>
      </c>
      <c r="H112" s="523">
        <f t="shared" si="37"/>
        <v>3397392.2383260122</v>
      </c>
      <c r="I112" s="572">
        <f t="shared" si="38"/>
        <v>3397392.2383260122</v>
      </c>
      <c r="J112" s="504">
        <f t="shared" si="31"/>
        <v>0</v>
      </c>
      <c r="K112" s="504"/>
      <c r="L112" s="512"/>
      <c r="M112" s="504">
        <f t="shared" si="39"/>
        <v>0</v>
      </c>
      <c r="N112" s="512"/>
      <c r="O112" s="504">
        <f t="shared" si="29"/>
        <v>0</v>
      </c>
      <c r="P112" s="504">
        <f t="shared" si="30"/>
        <v>0</v>
      </c>
      <c r="Q112" s="243"/>
      <c r="R112" s="243"/>
      <c r="S112" s="243"/>
      <c r="T112" s="243"/>
      <c r="U112" s="243"/>
    </row>
    <row r="113" spans="2:21">
      <c r="B113" s="145" t="str">
        <f t="shared" si="25"/>
        <v/>
      </c>
      <c r="C113" s="495">
        <f>IF(D94="","-",+C112+1)</f>
        <v>2026</v>
      </c>
      <c r="D113" s="349">
        <f>IF(F112+SUM(E$100:E112)=D$93,F112,D$93-SUM(E$100:E112))</f>
        <v>16918270.742313161</v>
      </c>
      <c r="E113" s="509">
        <f>IF(+J97&lt;F112,J97,D113)</f>
        <v>1376868.3685714286</v>
      </c>
      <c r="F113" s="510">
        <f t="shared" si="35"/>
        <v>15541402.373741733</v>
      </c>
      <c r="G113" s="510">
        <f t="shared" si="36"/>
        <v>16229836.558027446</v>
      </c>
      <c r="H113" s="523">
        <f t="shared" si="37"/>
        <v>3239384.5125302672</v>
      </c>
      <c r="I113" s="572">
        <f t="shared" si="38"/>
        <v>3239384.5125302672</v>
      </c>
      <c r="J113" s="504">
        <f t="shared" si="31"/>
        <v>0</v>
      </c>
      <c r="K113" s="504"/>
      <c r="L113" s="512"/>
      <c r="M113" s="504">
        <f t="shared" si="39"/>
        <v>0</v>
      </c>
      <c r="N113" s="512"/>
      <c r="O113" s="504">
        <f t="shared" si="29"/>
        <v>0</v>
      </c>
      <c r="P113" s="504">
        <f t="shared" si="30"/>
        <v>0</v>
      </c>
      <c r="Q113" s="243"/>
      <c r="R113" s="243"/>
      <c r="S113" s="243"/>
      <c r="T113" s="243"/>
      <c r="U113" s="243"/>
    </row>
    <row r="114" spans="2:21">
      <c r="B114" s="145" t="str">
        <f t="shared" si="25"/>
        <v/>
      </c>
      <c r="C114" s="495">
        <f>IF(D94="","-",+C113+1)</f>
        <v>2027</v>
      </c>
      <c r="D114" s="349">
        <f>IF(F113+SUM(E$100:E113)=D$93,F113,D$93-SUM(E$100:E113))</f>
        <v>15541402.373741733</v>
      </c>
      <c r="E114" s="509">
        <f>IF(+J97&lt;F113,J97,D114)</f>
        <v>1376868.3685714286</v>
      </c>
      <c r="F114" s="510">
        <f t="shared" si="35"/>
        <v>14164534.005170304</v>
      </c>
      <c r="G114" s="510">
        <f t="shared" si="36"/>
        <v>14852968.18945602</v>
      </c>
      <c r="H114" s="523">
        <f t="shared" si="37"/>
        <v>3081376.7867345228</v>
      </c>
      <c r="I114" s="572">
        <f t="shared" si="38"/>
        <v>3081376.7867345228</v>
      </c>
      <c r="J114" s="504">
        <f t="shared" si="31"/>
        <v>0</v>
      </c>
      <c r="K114" s="504"/>
      <c r="L114" s="512"/>
      <c r="M114" s="504">
        <f t="shared" si="39"/>
        <v>0</v>
      </c>
      <c r="N114" s="512"/>
      <c r="O114" s="504">
        <f t="shared" si="29"/>
        <v>0</v>
      </c>
      <c r="P114" s="504">
        <f t="shared" si="30"/>
        <v>0</v>
      </c>
      <c r="Q114" s="243"/>
      <c r="R114" s="243"/>
      <c r="S114" s="243"/>
      <c r="T114" s="243"/>
      <c r="U114" s="243"/>
    </row>
    <row r="115" spans="2:21">
      <c r="B115" s="145" t="str">
        <f t="shared" si="25"/>
        <v/>
      </c>
      <c r="C115" s="495">
        <f>IF(D94="","-",+C114+1)</f>
        <v>2028</v>
      </c>
      <c r="D115" s="349">
        <f>IF(F114+SUM(E$100:E114)=D$93,F114,D$93-SUM(E$100:E114))</f>
        <v>14164534.005170304</v>
      </c>
      <c r="E115" s="509">
        <f>IF(+J97&lt;F114,J97,D115)</f>
        <v>1376868.3685714286</v>
      </c>
      <c r="F115" s="510">
        <f t="shared" si="35"/>
        <v>12787665.636598876</v>
      </c>
      <c r="G115" s="510">
        <f t="shared" si="36"/>
        <v>13476099.820884589</v>
      </c>
      <c r="H115" s="523">
        <f t="shared" si="37"/>
        <v>2923369.0609387774</v>
      </c>
      <c r="I115" s="572">
        <f t="shared" si="38"/>
        <v>2923369.0609387774</v>
      </c>
      <c r="J115" s="504">
        <f t="shared" si="31"/>
        <v>0</v>
      </c>
      <c r="K115" s="504"/>
      <c r="L115" s="512"/>
      <c r="M115" s="504">
        <f t="shared" si="39"/>
        <v>0</v>
      </c>
      <c r="N115" s="512"/>
      <c r="O115" s="504">
        <f t="shared" si="29"/>
        <v>0</v>
      </c>
      <c r="P115" s="504">
        <f t="shared" si="30"/>
        <v>0</v>
      </c>
      <c r="Q115" s="243"/>
      <c r="R115" s="243"/>
      <c r="S115" s="243"/>
      <c r="T115" s="243"/>
      <c r="U115" s="243"/>
    </row>
    <row r="116" spans="2:21">
      <c r="B116" s="145" t="str">
        <f t="shared" si="25"/>
        <v/>
      </c>
      <c r="C116" s="495">
        <f>IF(D94="","-",+C115+1)</f>
        <v>2029</v>
      </c>
      <c r="D116" s="349">
        <f>IF(F115+SUM(E$100:E115)=D$93,F115,D$93-SUM(E$100:E115))</f>
        <v>12787665.636598876</v>
      </c>
      <c r="E116" s="509">
        <f>IF(+J97&lt;F115,J97,D116)</f>
        <v>1376868.3685714286</v>
      </c>
      <c r="F116" s="510">
        <f t="shared" si="35"/>
        <v>11410797.268027447</v>
      </c>
      <c r="G116" s="510">
        <f t="shared" si="36"/>
        <v>12099231.452313162</v>
      </c>
      <c r="H116" s="523">
        <f t="shared" si="37"/>
        <v>2765361.3351430334</v>
      </c>
      <c r="I116" s="572">
        <f t="shared" si="38"/>
        <v>2765361.3351430334</v>
      </c>
      <c r="J116" s="504">
        <f t="shared" si="31"/>
        <v>0</v>
      </c>
      <c r="K116" s="504"/>
      <c r="L116" s="512"/>
      <c r="M116" s="504">
        <f t="shared" si="39"/>
        <v>0</v>
      </c>
      <c r="N116" s="512"/>
      <c r="O116" s="504">
        <f t="shared" si="29"/>
        <v>0</v>
      </c>
      <c r="P116" s="504">
        <f t="shared" si="30"/>
        <v>0</v>
      </c>
      <c r="Q116" s="243"/>
      <c r="R116" s="243"/>
      <c r="S116" s="243"/>
      <c r="T116" s="243"/>
      <c r="U116" s="243"/>
    </row>
    <row r="117" spans="2:21">
      <c r="B117" s="145" t="str">
        <f t="shared" si="25"/>
        <v/>
      </c>
      <c r="C117" s="495">
        <f>IF(D94="","-",+C116+1)</f>
        <v>2030</v>
      </c>
      <c r="D117" s="349">
        <f>IF(F116+SUM(E$100:E116)=D$93,F116,D$93-SUM(E$100:E116))</f>
        <v>11410797.268027447</v>
      </c>
      <c r="E117" s="509">
        <f>IF(+J97&lt;F116,J97,D117)</f>
        <v>1376868.3685714286</v>
      </c>
      <c r="F117" s="510">
        <f t="shared" si="35"/>
        <v>10033928.899456019</v>
      </c>
      <c r="G117" s="510">
        <f t="shared" si="36"/>
        <v>10722363.083741732</v>
      </c>
      <c r="H117" s="523">
        <f t="shared" si="37"/>
        <v>2607353.6093472885</v>
      </c>
      <c r="I117" s="572">
        <f t="shared" si="38"/>
        <v>2607353.6093472885</v>
      </c>
      <c r="J117" s="504">
        <f t="shared" si="31"/>
        <v>0</v>
      </c>
      <c r="K117" s="504"/>
      <c r="L117" s="512"/>
      <c r="M117" s="504">
        <f t="shared" si="39"/>
        <v>0</v>
      </c>
      <c r="N117" s="512"/>
      <c r="O117" s="504">
        <f t="shared" si="29"/>
        <v>0</v>
      </c>
      <c r="P117" s="504">
        <f t="shared" si="30"/>
        <v>0</v>
      </c>
      <c r="Q117" s="243"/>
      <c r="R117" s="243"/>
      <c r="S117" s="243"/>
      <c r="T117" s="243"/>
      <c r="U117" s="243"/>
    </row>
    <row r="118" spans="2:21">
      <c r="B118" s="145" t="str">
        <f t="shared" si="25"/>
        <v/>
      </c>
      <c r="C118" s="495">
        <f>IF(D94="","-",+C117+1)</f>
        <v>2031</v>
      </c>
      <c r="D118" s="349">
        <f>IF(F117+SUM(E$100:E117)=D$93,F117,D$93-SUM(E$100:E117))</f>
        <v>10033928.899456019</v>
      </c>
      <c r="E118" s="509">
        <f>IF(+J97&lt;F117,J97,D118)</f>
        <v>1376868.3685714286</v>
      </c>
      <c r="F118" s="510">
        <f t="shared" si="35"/>
        <v>8657060.53088459</v>
      </c>
      <c r="G118" s="510">
        <f t="shared" si="36"/>
        <v>9345494.7151703052</v>
      </c>
      <c r="H118" s="523">
        <f t="shared" si="37"/>
        <v>2449345.8835515436</v>
      </c>
      <c r="I118" s="572">
        <f t="shared" si="38"/>
        <v>2449345.8835515436</v>
      </c>
      <c r="J118" s="504">
        <f t="shared" si="31"/>
        <v>0</v>
      </c>
      <c r="K118" s="504"/>
      <c r="L118" s="512"/>
      <c r="M118" s="504">
        <f t="shared" si="39"/>
        <v>0</v>
      </c>
      <c r="N118" s="512"/>
      <c r="O118" s="504">
        <f t="shared" si="29"/>
        <v>0</v>
      </c>
      <c r="P118" s="504">
        <f t="shared" si="30"/>
        <v>0</v>
      </c>
      <c r="Q118" s="243"/>
      <c r="R118" s="243"/>
      <c r="S118" s="243"/>
      <c r="T118" s="243"/>
      <c r="U118" s="243"/>
    </row>
    <row r="119" spans="2:21">
      <c r="B119" s="145" t="str">
        <f t="shared" si="25"/>
        <v/>
      </c>
      <c r="C119" s="495">
        <f>IF(D94="","-",+C118+1)</f>
        <v>2032</v>
      </c>
      <c r="D119" s="349">
        <f>IF(F118+SUM(E$100:E118)=D$93,F118,D$93-SUM(E$100:E118))</f>
        <v>8657060.53088459</v>
      </c>
      <c r="E119" s="509">
        <f>IF(+J97&lt;F118,J97,D119)</f>
        <v>1376868.3685714286</v>
      </c>
      <c r="F119" s="510">
        <f t="shared" si="35"/>
        <v>7280192.1623131614</v>
      </c>
      <c r="G119" s="510">
        <f t="shared" si="36"/>
        <v>7968626.3465988757</v>
      </c>
      <c r="H119" s="523">
        <f t="shared" si="37"/>
        <v>2291338.1577557987</v>
      </c>
      <c r="I119" s="572">
        <f t="shared" si="38"/>
        <v>2291338.1577557987</v>
      </c>
      <c r="J119" s="504">
        <f t="shared" si="31"/>
        <v>0</v>
      </c>
      <c r="K119" s="504"/>
      <c r="L119" s="512"/>
      <c r="M119" s="504">
        <f t="shared" si="39"/>
        <v>0</v>
      </c>
      <c r="N119" s="512"/>
      <c r="O119" s="504">
        <f t="shared" si="29"/>
        <v>0</v>
      </c>
      <c r="P119" s="504">
        <f t="shared" si="30"/>
        <v>0</v>
      </c>
      <c r="Q119" s="243"/>
      <c r="R119" s="243"/>
      <c r="S119" s="243"/>
      <c r="T119" s="243"/>
      <c r="U119" s="243"/>
    </row>
    <row r="120" spans="2:21">
      <c r="B120" s="145" t="str">
        <f t="shared" si="25"/>
        <v/>
      </c>
      <c r="C120" s="495">
        <f>IF(D94="","-",+C119+1)</f>
        <v>2033</v>
      </c>
      <c r="D120" s="349">
        <f>IF(F119+SUM(E$100:E119)=D$93,F119,D$93-SUM(E$100:E119))</f>
        <v>7280192.1623131614</v>
      </c>
      <c r="E120" s="509">
        <f>IF(+J97&lt;F119,J97,D120)</f>
        <v>1376868.3685714286</v>
      </c>
      <c r="F120" s="510">
        <f t="shared" si="35"/>
        <v>5903323.7937417328</v>
      </c>
      <c r="G120" s="510">
        <f t="shared" si="36"/>
        <v>6591757.9780274471</v>
      </c>
      <c r="H120" s="523">
        <f t="shared" si="37"/>
        <v>2133330.4319600542</v>
      </c>
      <c r="I120" s="572">
        <f t="shared" si="38"/>
        <v>2133330.4319600542</v>
      </c>
      <c r="J120" s="504">
        <f t="shared" si="31"/>
        <v>0</v>
      </c>
      <c r="K120" s="504"/>
      <c r="L120" s="512"/>
      <c r="M120" s="504">
        <f t="shared" si="39"/>
        <v>0</v>
      </c>
      <c r="N120" s="512"/>
      <c r="O120" s="504">
        <f t="shared" si="29"/>
        <v>0</v>
      </c>
      <c r="P120" s="504">
        <f t="shared" si="30"/>
        <v>0</v>
      </c>
      <c r="Q120" s="243"/>
      <c r="R120" s="243"/>
      <c r="S120" s="243"/>
      <c r="T120" s="243"/>
      <c r="U120" s="243"/>
    </row>
    <row r="121" spans="2:21">
      <c r="B121" s="145" t="str">
        <f t="shared" si="25"/>
        <v/>
      </c>
      <c r="C121" s="495">
        <f>IF(D94="","-",+C120+1)</f>
        <v>2034</v>
      </c>
      <c r="D121" s="349">
        <f>IF(F120+SUM(E$100:E120)=D$93,F120,D$93-SUM(E$100:E120))</f>
        <v>5903323.7937417328</v>
      </c>
      <c r="E121" s="509">
        <f>IF(+J97&lt;F120,J97,D121)</f>
        <v>1376868.3685714286</v>
      </c>
      <c r="F121" s="510">
        <f t="shared" si="35"/>
        <v>4526455.4251703043</v>
      </c>
      <c r="G121" s="510">
        <f t="shared" si="36"/>
        <v>5214889.6094560185</v>
      </c>
      <c r="H121" s="523">
        <f t="shared" si="37"/>
        <v>1975322.7061643095</v>
      </c>
      <c r="I121" s="572">
        <f t="shared" si="38"/>
        <v>1975322.7061643095</v>
      </c>
      <c r="J121" s="504">
        <f t="shared" si="31"/>
        <v>0</v>
      </c>
      <c r="K121" s="504"/>
      <c r="L121" s="512"/>
      <c r="M121" s="504">
        <f t="shared" si="39"/>
        <v>0</v>
      </c>
      <c r="N121" s="512"/>
      <c r="O121" s="504">
        <f t="shared" si="29"/>
        <v>0</v>
      </c>
      <c r="P121" s="504">
        <f t="shared" si="30"/>
        <v>0</v>
      </c>
      <c r="Q121" s="243"/>
      <c r="R121" s="243"/>
      <c r="S121" s="243"/>
      <c r="T121" s="243"/>
      <c r="U121" s="243"/>
    </row>
    <row r="122" spans="2:21">
      <c r="B122" s="145" t="str">
        <f t="shared" si="25"/>
        <v/>
      </c>
      <c r="C122" s="495">
        <f>IF(D94="","-",+C121+1)</f>
        <v>2035</v>
      </c>
      <c r="D122" s="349">
        <f>IF(F121+SUM(E$100:E121)=D$93,F121,D$93-SUM(E$100:E121))</f>
        <v>4526455.4251703043</v>
      </c>
      <c r="E122" s="509">
        <f>IF(+J97&lt;F121,J97,D122)</f>
        <v>1376868.3685714286</v>
      </c>
      <c r="F122" s="510">
        <f t="shared" si="35"/>
        <v>3149587.0565988757</v>
      </c>
      <c r="G122" s="510">
        <f t="shared" si="36"/>
        <v>3838021.24088459</v>
      </c>
      <c r="H122" s="523">
        <f t="shared" si="37"/>
        <v>1817314.9803685648</v>
      </c>
      <c r="I122" s="572">
        <f t="shared" si="38"/>
        <v>1817314.9803685648</v>
      </c>
      <c r="J122" s="504">
        <f t="shared" si="31"/>
        <v>0</v>
      </c>
      <c r="K122" s="504"/>
      <c r="L122" s="512"/>
      <c r="M122" s="504">
        <f t="shared" si="39"/>
        <v>0</v>
      </c>
      <c r="N122" s="512"/>
      <c r="O122" s="504">
        <f t="shared" si="29"/>
        <v>0</v>
      </c>
      <c r="P122" s="504">
        <f t="shared" si="30"/>
        <v>0</v>
      </c>
      <c r="Q122" s="243"/>
      <c r="R122" s="243"/>
      <c r="S122" s="243"/>
      <c r="T122" s="243"/>
      <c r="U122" s="243"/>
    </row>
    <row r="123" spans="2:21">
      <c r="B123" s="145" t="str">
        <f t="shared" si="25"/>
        <v/>
      </c>
      <c r="C123" s="495">
        <f>IF(D94="","-",+C122+1)</f>
        <v>2036</v>
      </c>
      <c r="D123" s="349">
        <f>IF(F122+SUM(E$100:E122)=D$93,F122,D$93-SUM(E$100:E122))</f>
        <v>3149587.0565988757</v>
      </c>
      <c r="E123" s="509">
        <f>IF(+J97&lt;F122,J97,D123)</f>
        <v>1376868.3685714286</v>
      </c>
      <c r="F123" s="510">
        <f t="shared" si="35"/>
        <v>1772718.6880274471</v>
      </c>
      <c r="G123" s="510">
        <f t="shared" si="36"/>
        <v>2461152.8723131614</v>
      </c>
      <c r="H123" s="523">
        <f t="shared" si="37"/>
        <v>1659307.2545728199</v>
      </c>
      <c r="I123" s="572">
        <f t="shared" si="38"/>
        <v>1659307.2545728199</v>
      </c>
      <c r="J123" s="504">
        <f t="shared" si="31"/>
        <v>0</v>
      </c>
      <c r="K123" s="504"/>
      <c r="L123" s="512"/>
      <c r="M123" s="504">
        <f t="shared" si="39"/>
        <v>0</v>
      </c>
      <c r="N123" s="512"/>
      <c r="O123" s="504">
        <f t="shared" si="29"/>
        <v>0</v>
      </c>
      <c r="P123" s="504">
        <f t="shared" si="30"/>
        <v>0</v>
      </c>
      <c r="Q123" s="243"/>
      <c r="R123" s="243"/>
      <c r="S123" s="243"/>
      <c r="T123" s="243"/>
      <c r="U123" s="243"/>
    </row>
    <row r="124" spans="2:21">
      <c r="B124" s="145" t="str">
        <f t="shared" si="25"/>
        <v/>
      </c>
      <c r="C124" s="495">
        <f>IF(D94="","-",+C123+1)</f>
        <v>2037</v>
      </c>
      <c r="D124" s="349">
        <f>IF(F123+SUM(E$100:E123)=D$93,F123,D$93-SUM(E$100:E123))</f>
        <v>1772718.6880274471</v>
      </c>
      <c r="E124" s="509">
        <f>IF(+J97&lt;F123,J97,D124)</f>
        <v>1376868.3685714286</v>
      </c>
      <c r="F124" s="510">
        <f t="shared" si="35"/>
        <v>395850.31945601851</v>
      </c>
      <c r="G124" s="510">
        <f t="shared" si="36"/>
        <v>1084284.5037417328</v>
      </c>
      <c r="H124" s="523">
        <f t="shared" si="37"/>
        <v>1501299.5287770752</v>
      </c>
      <c r="I124" s="572">
        <f t="shared" si="38"/>
        <v>1501299.5287770752</v>
      </c>
      <c r="J124" s="504">
        <f t="shared" si="31"/>
        <v>0</v>
      </c>
      <c r="K124" s="504"/>
      <c r="L124" s="512"/>
      <c r="M124" s="504">
        <f t="shared" si="39"/>
        <v>0</v>
      </c>
      <c r="N124" s="512"/>
      <c r="O124" s="504">
        <f t="shared" si="29"/>
        <v>0</v>
      </c>
      <c r="P124" s="504">
        <f t="shared" si="30"/>
        <v>0</v>
      </c>
      <c r="Q124" s="243"/>
      <c r="R124" s="243"/>
      <c r="S124" s="243"/>
      <c r="T124" s="243"/>
      <c r="U124" s="243"/>
    </row>
    <row r="125" spans="2:21">
      <c r="B125" s="145" t="str">
        <f t="shared" si="25"/>
        <v/>
      </c>
      <c r="C125" s="495">
        <f>IF(D94="","-",+C124+1)</f>
        <v>2038</v>
      </c>
      <c r="D125" s="349">
        <f>IF(F124+SUM(E$100:E124)=D$93,F124,D$93-SUM(E$100:E124))</f>
        <v>395850.31945601851</v>
      </c>
      <c r="E125" s="509">
        <f>IF(+J97&lt;F124,J97,D125)</f>
        <v>395850.31945601851</v>
      </c>
      <c r="F125" s="510">
        <f t="shared" si="35"/>
        <v>0</v>
      </c>
      <c r="G125" s="510">
        <f t="shared" si="36"/>
        <v>197925.15972800925</v>
      </c>
      <c r="H125" s="523">
        <f t="shared" si="37"/>
        <v>418563.96810990566</v>
      </c>
      <c r="I125" s="572">
        <f t="shared" si="38"/>
        <v>418563.96810990566</v>
      </c>
      <c r="J125" s="504">
        <f t="shared" si="31"/>
        <v>0</v>
      </c>
      <c r="K125" s="504"/>
      <c r="L125" s="512"/>
      <c r="M125" s="504">
        <f t="shared" si="39"/>
        <v>0</v>
      </c>
      <c r="N125" s="512"/>
      <c r="O125" s="504">
        <f t="shared" si="29"/>
        <v>0</v>
      </c>
      <c r="P125" s="504">
        <f t="shared" si="30"/>
        <v>0</v>
      </c>
      <c r="Q125" s="243"/>
      <c r="R125" s="243"/>
      <c r="S125" s="243"/>
      <c r="T125" s="243"/>
      <c r="U125" s="243"/>
    </row>
    <row r="126" spans="2:21">
      <c r="B126" s="145" t="str">
        <f t="shared" si="25"/>
        <v/>
      </c>
      <c r="C126" s="495">
        <f>IF(D94="","-",+C125+1)</f>
        <v>2039</v>
      </c>
      <c r="D126" s="349">
        <f>IF(F125+SUM(E$100:E125)=D$93,F125,D$93-SUM(E$100:E125))</f>
        <v>0</v>
      </c>
      <c r="E126" s="509">
        <f>IF(+J97&lt;F125,J97,D126)</f>
        <v>0</v>
      </c>
      <c r="F126" s="510">
        <f t="shared" si="35"/>
        <v>0</v>
      </c>
      <c r="G126" s="510">
        <f t="shared" si="36"/>
        <v>0</v>
      </c>
      <c r="H126" s="523">
        <f t="shared" si="37"/>
        <v>0</v>
      </c>
      <c r="I126" s="572">
        <f t="shared" si="38"/>
        <v>0</v>
      </c>
      <c r="J126" s="504">
        <f t="shared" si="31"/>
        <v>0</v>
      </c>
      <c r="K126" s="504"/>
      <c r="L126" s="512"/>
      <c r="M126" s="504">
        <f t="shared" si="39"/>
        <v>0</v>
      </c>
      <c r="N126" s="512"/>
      <c r="O126" s="504">
        <f t="shared" si="29"/>
        <v>0</v>
      </c>
      <c r="P126" s="504">
        <f t="shared" si="30"/>
        <v>0</v>
      </c>
      <c r="Q126" s="243"/>
      <c r="R126" s="243"/>
      <c r="S126" s="243"/>
      <c r="T126" s="243"/>
      <c r="U126" s="243"/>
    </row>
    <row r="127" spans="2:21">
      <c r="B127" s="145" t="str">
        <f t="shared" si="25"/>
        <v/>
      </c>
      <c r="C127" s="495">
        <f>IF(D94="","-",+C126+1)</f>
        <v>2040</v>
      </c>
      <c r="D127" s="349">
        <f>IF(F126+SUM(E$100:E126)=D$93,F126,D$93-SUM(E$100:E126))</f>
        <v>0</v>
      </c>
      <c r="E127" s="509">
        <f>IF(+J97&lt;F126,J97,D127)</f>
        <v>0</v>
      </c>
      <c r="F127" s="510">
        <f t="shared" si="35"/>
        <v>0</v>
      </c>
      <c r="G127" s="510">
        <f t="shared" si="36"/>
        <v>0</v>
      </c>
      <c r="H127" s="523">
        <f t="shared" si="37"/>
        <v>0</v>
      </c>
      <c r="I127" s="572">
        <f t="shared" si="38"/>
        <v>0</v>
      </c>
      <c r="J127" s="504">
        <f t="shared" si="31"/>
        <v>0</v>
      </c>
      <c r="K127" s="504"/>
      <c r="L127" s="512"/>
      <c r="M127" s="504">
        <f t="shared" si="39"/>
        <v>0</v>
      </c>
      <c r="N127" s="512"/>
      <c r="O127" s="504">
        <f t="shared" si="29"/>
        <v>0</v>
      </c>
      <c r="P127" s="504">
        <f t="shared" si="30"/>
        <v>0</v>
      </c>
      <c r="Q127" s="243"/>
      <c r="R127" s="243"/>
      <c r="S127" s="243"/>
      <c r="T127" s="243"/>
      <c r="U127" s="243"/>
    </row>
    <row r="128" spans="2:21">
      <c r="B128" s="145" t="str">
        <f t="shared" si="25"/>
        <v/>
      </c>
      <c r="C128" s="495">
        <f>IF(D94="","-",+C127+1)</f>
        <v>2041</v>
      </c>
      <c r="D128" s="349">
        <f>IF(F127+SUM(E$100:E127)=D$93,F127,D$93-SUM(E$100:E127))</f>
        <v>0</v>
      </c>
      <c r="E128" s="509">
        <f>IF(+J97&lt;F127,J97,D128)</f>
        <v>0</v>
      </c>
      <c r="F128" s="510">
        <f t="shared" si="35"/>
        <v>0</v>
      </c>
      <c r="G128" s="510">
        <f t="shared" si="36"/>
        <v>0</v>
      </c>
      <c r="H128" s="523">
        <f t="shared" si="37"/>
        <v>0</v>
      </c>
      <c r="I128" s="572">
        <f t="shared" si="38"/>
        <v>0</v>
      </c>
      <c r="J128" s="504">
        <f t="shared" si="31"/>
        <v>0</v>
      </c>
      <c r="K128" s="504"/>
      <c r="L128" s="512"/>
      <c r="M128" s="504">
        <f t="shared" si="39"/>
        <v>0</v>
      </c>
      <c r="N128" s="512"/>
      <c r="O128" s="504">
        <f t="shared" si="29"/>
        <v>0</v>
      </c>
      <c r="P128" s="504">
        <f t="shared" si="30"/>
        <v>0</v>
      </c>
      <c r="Q128" s="243"/>
      <c r="R128" s="243"/>
      <c r="S128" s="243"/>
      <c r="T128" s="243"/>
      <c r="U128" s="243"/>
    </row>
    <row r="129" spans="2:21">
      <c r="B129" s="145" t="str">
        <f t="shared" si="25"/>
        <v/>
      </c>
      <c r="C129" s="495">
        <f>IF(D94="","-",+C128+1)</f>
        <v>2042</v>
      </c>
      <c r="D129" s="349">
        <f>IF(F128+SUM(E$100:E128)=D$93,F128,D$93-SUM(E$100:E128))</f>
        <v>0</v>
      </c>
      <c r="E129" s="509">
        <f>IF(+J97&lt;F128,J97,D129)</f>
        <v>0</v>
      </c>
      <c r="F129" s="510">
        <f t="shared" si="35"/>
        <v>0</v>
      </c>
      <c r="G129" s="510">
        <f t="shared" si="36"/>
        <v>0</v>
      </c>
      <c r="H129" s="523">
        <f t="shared" si="37"/>
        <v>0</v>
      </c>
      <c r="I129" s="572">
        <f t="shared" si="38"/>
        <v>0</v>
      </c>
      <c r="J129" s="504">
        <f t="shared" si="31"/>
        <v>0</v>
      </c>
      <c r="K129" s="504"/>
      <c r="L129" s="512"/>
      <c r="M129" s="504">
        <f t="shared" si="39"/>
        <v>0</v>
      </c>
      <c r="N129" s="512"/>
      <c r="O129" s="504">
        <f t="shared" si="29"/>
        <v>0</v>
      </c>
      <c r="P129" s="504">
        <f t="shared" si="30"/>
        <v>0</v>
      </c>
      <c r="Q129" s="243"/>
      <c r="R129" s="243"/>
      <c r="S129" s="243"/>
      <c r="T129" s="243"/>
      <c r="U129" s="243"/>
    </row>
    <row r="130" spans="2:21">
      <c r="B130" s="145" t="str">
        <f t="shared" si="25"/>
        <v/>
      </c>
      <c r="C130" s="495">
        <f>IF(D94="","-",+C129+1)</f>
        <v>2043</v>
      </c>
      <c r="D130" s="349">
        <f>IF(F129+SUM(E$100:E129)=D$93,F129,D$93-SUM(E$100:E129))</f>
        <v>0</v>
      </c>
      <c r="E130" s="509">
        <f>IF(+J97&lt;F129,J97,D130)</f>
        <v>0</v>
      </c>
      <c r="F130" s="510">
        <f t="shared" si="35"/>
        <v>0</v>
      </c>
      <c r="G130" s="510">
        <f t="shared" si="36"/>
        <v>0</v>
      </c>
      <c r="H130" s="523">
        <f t="shared" si="37"/>
        <v>0</v>
      </c>
      <c r="I130" s="572">
        <f t="shared" si="38"/>
        <v>0</v>
      </c>
      <c r="J130" s="504">
        <f t="shared" si="31"/>
        <v>0</v>
      </c>
      <c r="K130" s="504"/>
      <c r="L130" s="512"/>
      <c r="M130" s="504">
        <f t="shared" si="39"/>
        <v>0</v>
      </c>
      <c r="N130" s="512"/>
      <c r="O130" s="504">
        <f t="shared" si="29"/>
        <v>0</v>
      </c>
      <c r="P130" s="504">
        <f t="shared" si="30"/>
        <v>0</v>
      </c>
      <c r="Q130" s="243"/>
      <c r="R130" s="243"/>
      <c r="S130" s="243"/>
      <c r="T130" s="243"/>
      <c r="U130" s="243"/>
    </row>
    <row r="131" spans="2:21">
      <c r="B131" s="145" t="str">
        <f t="shared" si="25"/>
        <v/>
      </c>
      <c r="C131" s="495">
        <f>IF(D94="","-",+C130+1)</f>
        <v>2044</v>
      </c>
      <c r="D131" s="349">
        <f>IF(F130+SUM(E$100:E130)=D$93,F130,D$93-SUM(E$100:E130))</f>
        <v>0</v>
      </c>
      <c r="E131" s="509">
        <f>IF(+J97&lt;F130,J97,D131)</f>
        <v>0</v>
      </c>
      <c r="F131" s="510">
        <f t="shared" si="35"/>
        <v>0</v>
      </c>
      <c r="G131" s="510">
        <f t="shared" si="36"/>
        <v>0</v>
      </c>
      <c r="H131" s="523">
        <f t="shared" si="37"/>
        <v>0</v>
      </c>
      <c r="I131" s="572">
        <f t="shared" si="38"/>
        <v>0</v>
      </c>
      <c r="J131" s="504">
        <f t="shared" si="31"/>
        <v>0</v>
      </c>
      <c r="K131" s="504"/>
      <c r="L131" s="512"/>
      <c r="M131" s="504">
        <f t="shared" si="39"/>
        <v>0</v>
      </c>
      <c r="N131" s="512"/>
      <c r="O131" s="504">
        <f t="shared" si="29"/>
        <v>0</v>
      </c>
      <c r="P131" s="504">
        <f t="shared" si="30"/>
        <v>0</v>
      </c>
      <c r="Q131" s="243"/>
      <c r="R131" s="243"/>
      <c r="S131" s="243"/>
      <c r="T131" s="243"/>
      <c r="U131" s="243"/>
    </row>
    <row r="132" spans="2:21">
      <c r="B132" s="145" t="str">
        <f t="shared" ref="B132:B155" si="40">IF(D132=F131,"","IU")</f>
        <v/>
      </c>
      <c r="C132" s="495">
        <f>IF(D94="","-",+C131+1)</f>
        <v>2045</v>
      </c>
      <c r="D132" s="349">
        <f>IF(F131+SUM(E$100:E131)=D$93,F131,D$93-SUM(E$100:E131))</f>
        <v>0</v>
      </c>
      <c r="E132" s="509">
        <f>IF(+J97&lt;F131,J97,D132)</f>
        <v>0</v>
      </c>
      <c r="F132" s="510">
        <f t="shared" si="35"/>
        <v>0</v>
      </c>
      <c r="G132" s="510">
        <f t="shared" ref="G132:G155" si="41">+(F132+D132)/2</f>
        <v>0</v>
      </c>
      <c r="H132" s="523">
        <f t="shared" ref="H132:H155" si="42">+J$95*G132+E132</f>
        <v>0</v>
      </c>
      <c r="I132" s="572">
        <f t="shared" ref="I132:I155" si="43">+J$96*G132+E132</f>
        <v>0</v>
      </c>
      <c r="J132" s="504">
        <f t="shared" ref="J132:J155" si="44">+I132-H132</f>
        <v>0</v>
      </c>
      <c r="K132" s="504"/>
      <c r="L132" s="512"/>
      <c r="M132" s="504">
        <f t="shared" ref="M132:M155" si="45">IF(L132&lt;&gt;0,+H132-L132,0)</f>
        <v>0</v>
      </c>
      <c r="N132" s="512"/>
      <c r="O132" s="504">
        <f t="shared" ref="O132:O155" si="46">IF(N132&lt;&gt;0,+I132-N132,0)</f>
        <v>0</v>
      </c>
      <c r="P132" s="504">
        <f t="shared" ref="P132:P155" si="47">+O132-M132</f>
        <v>0</v>
      </c>
      <c r="Q132" s="243"/>
      <c r="R132" s="243"/>
      <c r="S132" s="243"/>
      <c r="T132" s="243"/>
      <c r="U132" s="243"/>
    </row>
    <row r="133" spans="2:21">
      <c r="B133" s="145" t="str">
        <f t="shared" si="40"/>
        <v/>
      </c>
      <c r="C133" s="495">
        <f>IF(D94="","-",+C132+1)</f>
        <v>2046</v>
      </c>
      <c r="D133" s="349">
        <f>IF(F132+SUM(E$100:E132)=D$93,F132,D$93-SUM(E$100:E132))</f>
        <v>0</v>
      </c>
      <c r="E133" s="509">
        <f>IF(+J97&lt;F132,J97,D133)</f>
        <v>0</v>
      </c>
      <c r="F133" s="510">
        <f t="shared" ref="F133:F155" si="48">+D133-E133</f>
        <v>0</v>
      </c>
      <c r="G133" s="510">
        <f t="shared" si="41"/>
        <v>0</v>
      </c>
      <c r="H133" s="523">
        <f t="shared" si="42"/>
        <v>0</v>
      </c>
      <c r="I133" s="572">
        <f t="shared" si="43"/>
        <v>0</v>
      </c>
      <c r="J133" s="504">
        <f t="shared" si="44"/>
        <v>0</v>
      </c>
      <c r="K133" s="504"/>
      <c r="L133" s="512"/>
      <c r="M133" s="504">
        <f t="shared" si="45"/>
        <v>0</v>
      </c>
      <c r="N133" s="512"/>
      <c r="O133" s="504">
        <f t="shared" si="46"/>
        <v>0</v>
      </c>
      <c r="P133" s="504">
        <f t="shared" si="47"/>
        <v>0</v>
      </c>
      <c r="Q133" s="243"/>
      <c r="R133" s="243"/>
      <c r="S133" s="243"/>
      <c r="T133" s="243"/>
      <c r="U133" s="243"/>
    </row>
    <row r="134" spans="2:21">
      <c r="B134" s="145" t="str">
        <f t="shared" si="40"/>
        <v/>
      </c>
      <c r="C134" s="495">
        <f>IF(D94="","-",+C133+1)</f>
        <v>2047</v>
      </c>
      <c r="D134" s="349">
        <f>IF(F133+SUM(E$100:E133)=D$93,F133,D$93-SUM(E$100:E133))</f>
        <v>0</v>
      </c>
      <c r="E134" s="509">
        <f>IF(+J97&lt;F133,J97,D134)</f>
        <v>0</v>
      </c>
      <c r="F134" s="510">
        <f t="shared" si="48"/>
        <v>0</v>
      </c>
      <c r="G134" s="510">
        <f t="shared" si="41"/>
        <v>0</v>
      </c>
      <c r="H134" s="523">
        <f t="shared" si="42"/>
        <v>0</v>
      </c>
      <c r="I134" s="572">
        <f t="shared" si="43"/>
        <v>0</v>
      </c>
      <c r="J134" s="504">
        <f t="shared" si="44"/>
        <v>0</v>
      </c>
      <c r="K134" s="504"/>
      <c r="L134" s="512"/>
      <c r="M134" s="504">
        <f t="shared" si="45"/>
        <v>0</v>
      </c>
      <c r="N134" s="512"/>
      <c r="O134" s="504">
        <f t="shared" si="46"/>
        <v>0</v>
      </c>
      <c r="P134" s="504">
        <f t="shared" si="47"/>
        <v>0</v>
      </c>
      <c r="Q134" s="243"/>
      <c r="R134" s="243"/>
      <c r="S134" s="243"/>
      <c r="T134" s="243"/>
      <c r="U134" s="243"/>
    </row>
    <row r="135" spans="2:21">
      <c r="B135" s="145" t="str">
        <f t="shared" si="40"/>
        <v/>
      </c>
      <c r="C135" s="495">
        <f>IF(D94="","-",+C134+1)</f>
        <v>2048</v>
      </c>
      <c r="D135" s="349">
        <f>IF(F134+SUM(E$100:E134)=D$93,F134,D$93-SUM(E$100:E134))</f>
        <v>0</v>
      </c>
      <c r="E135" s="509">
        <f>IF(+J97&lt;F134,J97,D135)</f>
        <v>0</v>
      </c>
      <c r="F135" s="510">
        <f t="shared" si="48"/>
        <v>0</v>
      </c>
      <c r="G135" s="510">
        <f t="shared" si="41"/>
        <v>0</v>
      </c>
      <c r="H135" s="523">
        <f t="shared" si="42"/>
        <v>0</v>
      </c>
      <c r="I135" s="572">
        <f t="shared" si="43"/>
        <v>0</v>
      </c>
      <c r="J135" s="504">
        <f t="shared" si="44"/>
        <v>0</v>
      </c>
      <c r="K135" s="504"/>
      <c r="L135" s="512"/>
      <c r="M135" s="504">
        <f t="shared" si="45"/>
        <v>0</v>
      </c>
      <c r="N135" s="512"/>
      <c r="O135" s="504">
        <f t="shared" si="46"/>
        <v>0</v>
      </c>
      <c r="P135" s="504">
        <f t="shared" si="47"/>
        <v>0</v>
      </c>
      <c r="Q135" s="243"/>
      <c r="R135" s="243"/>
      <c r="S135" s="243"/>
      <c r="T135" s="243"/>
      <c r="U135" s="243"/>
    </row>
    <row r="136" spans="2:21">
      <c r="B136" s="145" t="str">
        <f t="shared" si="40"/>
        <v/>
      </c>
      <c r="C136" s="495">
        <f>IF(D94="","-",+C135+1)</f>
        <v>2049</v>
      </c>
      <c r="D136" s="349">
        <f>IF(F135+SUM(E$100:E135)=D$93,F135,D$93-SUM(E$100:E135))</f>
        <v>0</v>
      </c>
      <c r="E136" s="509">
        <f>IF(+J97&lt;F135,J97,D136)</f>
        <v>0</v>
      </c>
      <c r="F136" s="510">
        <f t="shared" si="48"/>
        <v>0</v>
      </c>
      <c r="G136" s="510">
        <f t="shared" si="41"/>
        <v>0</v>
      </c>
      <c r="H136" s="523">
        <f t="shared" si="42"/>
        <v>0</v>
      </c>
      <c r="I136" s="572">
        <f t="shared" si="43"/>
        <v>0</v>
      </c>
      <c r="J136" s="504">
        <f t="shared" si="44"/>
        <v>0</v>
      </c>
      <c r="K136" s="504"/>
      <c r="L136" s="512"/>
      <c r="M136" s="504">
        <f t="shared" si="45"/>
        <v>0</v>
      </c>
      <c r="N136" s="512"/>
      <c r="O136" s="504">
        <f t="shared" si="46"/>
        <v>0</v>
      </c>
      <c r="P136" s="504">
        <f t="shared" si="47"/>
        <v>0</v>
      </c>
      <c r="Q136" s="243"/>
      <c r="R136" s="243"/>
      <c r="S136" s="243"/>
      <c r="T136" s="243"/>
      <c r="U136" s="243"/>
    </row>
    <row r="137" spans="2:21">
      <c r="B137" s="145" t="str">
        <f t="shared" si="40"/>
        <v/>
      </c>
      <c r="C137" s="495">
        <f>IF(D94="","-",+C136+1)</f>
        <v>2050</v>
      </c>
      <c r="D137" s="349">
        <f>IF(F136+SUM(E$100:E136)=D$93,F136,D$93-SUM(E$100:E136))</f>
        <v>0</v>
      </c>
      <c r="E137" s="509">
        <f>IF(+J97&lt;F136,J97,D137)</f>
        <v>0</v>
      </c>
      <c r="F137" s="510">
        <f t="shared" si="48"/>
        <v>0</v>
      </c>
      <c r="G137" s="510">
        <f t="shared" si="41"/>
        <v>0</v>
      </c>
      <c r="H137" s="523">
        <f t="shared" si="42"/>
        <v>0</v>
      </c>
      <c r="I137" s="572">
        <f t="shared" si="43"/>
        <v>0</v>
      </c>
      <c r="J137" s="504">
        <f t="shared" si="44"/>
        <v>0</v>
      </c>
      <c r="K137" s="504"/>
      <c r="L137" s="512"/>
      <c r="M137" s="504">
        <f t="shared" si="45"/>
        <v>0</v>
      </c>
      <c r="N137" s="512"/>
      <c r="O137" s="504">
        <f t="shared" si="46"/>
        <v>0</v>
      </c>
      <c r="P137" s="504">
        <f t="shared" si="47"/>
        <v>0</v>
      </c>
      <c r="Q137" s="243"/>
      <c r="R137" s="243"/>
      <c r="S137" s="243"/>
      <c r="T137" s="243"/>
      <c r="U137" s="243"/>
    </row>
    <row r="138" spans="2:21">
      <c r="B138" s="145" t="str">
        <f t="shared" si="40"/>
        <v/>
      </c>
      <c r="C138" s="495">
        <f>IF(D94="","-",+C137+1)</f>
        <v>2051</v>
      </c>
      <c r="D138" s="349">
        <f>IF(F137+SUM(E$100:E137)=D$93,F137,D$93-SUM(E$100:E137))</f>
        <v>0</v>
      </c>
      <c r="E138" s="509">
        <f>IF(+J97&lt;F137,J97,D138)</f>
        <v>0</v>
      </c>
      <c r="F138" s="510">
        <f t="shared" si="48"/>
        <v>0</v>
      </c>
      <c r="G138" s="510">
        <f t="shared" si="41"/>
        <v>0</v>
      </c>
      <c r="H138" s="523">
        <f t="shared" si="42"/>
        <v>0</v>
      </c>
      <c r="I138" s="572">
        <f t="shared" si="43"/>
        <v>0</v>
      </c>
      <c r="J138" s="504">
        <f t="shared" si="44"/>
        <v>0</v>
      </c>
      <c r="K138" s="504"/>
      <c r="L138" s="512"/>
      <c r="M138" s="504">
        <f t="shared" si="45"/>
        <v>0</v>
      </c>
      <c r="N138" s="512"/>
      <c r="O138" s="504">
        <f t="shared" si="46"/>
        <v>0</v>
      </c>
      <c r="P138" s="504">
        <f t="shared" si="47"/>
        <v>0</v>
      </c>
      <c r="Q138" s="243"/>
      <c r="R138" s="243"/>
      <c r="S138" s="243"/>
      <c r="T138" s="243"/>
      <c r="U138" s="243"/>
    </row>
    <row r="139" spans="2:21">
      <c r="B139" s="145" t="str">
        <f t="shared" si="40"/>
        <v/>
      </c>
      <c r="C139" s="495">
        <f>IF(D94="","-",+C138+1)</f>
        <v>2052</v>
      </c>
      <c r="D139" s="349">
        <f>IF(F138+SUM(E$100:E138)=D$93,F138,D$93-SUM(E$100:E138))</f>
        <v>0</v>
      </c>
      <c r="E139" s="509">
        <f>IF(+J97&lt;F138,J97,D139)</f>
        <v>0</v>
      </c>
      <c r="F139" s="510">
        <f t="shared" si="48"/>
        <v>0</v>
      </c>
      <c r="G139" s="510">
        <f t="shared" si="41"/>
        <v>0</v>
      </c>
      <c r="H139" s="523">
        <f t="shared" si="42"/>
        <v>0</v>
      </c>
      <c r="I139" s="572">
        <f t="shared" si="43"/>
        <v>0</v>
      </c>
      <c r="J139" s="504">
        <f t="shared" si="44"/>
        <v>0</v>
      </c>
      <c r="K139" s="504"/>
      <c r="L139" s="512"/>
      <c r="M139" s="504">
        <f t="shared" si="45"/>
        <v>0</v>
      </c>
      <c r="N139" s="512"/>
      <c r="O139" s="504">
        <f t="shared" si="46"/>
        <v>0</v>
      </c>
      <c r="P139" s="504">
        <f t="shared" si="47"/>
        <v>0</v>
      </c>
      <c r="Q139" s="243"/>
      <c r="R139" s="243"/>
      <c r="S139" s="243"/>
      <c r="T139" s="243"/>
      <c r="U139" s="243"/>
    </row>
    <row r="140" spans="2:21">
      <c r="B140" s="145" t="str">
        <f t="shared" si="40"/>
        <v/>
      </c>
      <c r="C140" s="495">
        <f>IF(D94="","-",+C139+1)</f>
        <v>2053</v>
      </c>
      <c r="D140" s="349">
        <f>IF(F139+SUM(E$100:E139)=D$93,F139,D$93-SUM(E$100:E139))</f>
        <v>0</v>
      </c>
      <c r="E140" s="509">
        <f>IF(+J97&lt;F139,J97,D140)</f>
        <v>0</v>
      </c>
      <c r="F140" s="510">
        <f t="shared" si="48"/>
        <v>0</v>
      </c>
      <c r="G140" s="510">
        <f t="shared" si="41"/>
        <v>0</v>
      </c>
      <c r="H140" s="523">
        <f t="shared" si="42"/>
        <v>0</v>
      </c>
      <c r="I140" s="572">
        <f t="shared" si="43"/>
        <v>0</v>
      </c>
      <c r="J140" s="504">
        <f t="shared" si="44"/>
        <v>0</v>
      </c>
      <c r="K140" s="504"/>
      <c r="L140" s="512"/>
      <c r="M140" s="504">
        <f t="shared" si="45"/>
        <v>0</v>
      </c>
      <c r="N140" s="512"/>
      <c r="O140" s="504">
        <f t="shared" si="46"/>
        <v>0</v>
      </c>
      <c r="P140" s="504">
        <f t="shared" si="47"/>
        <v>0</v>
      </c>
      <c r="Q140" s="243"/>
      <c r="R140" s="243"/>
      <c r="S140" s="243"/>
      <c r="T140" s="243"/>
      <c r="U140" s="243"/>
    </row>
    <row r="141" spans="2:21">
      <c r="B141" s="145" t="str">
        <f t="shared" si="40"/>
        <v/>
      </c>
      <c r="C141" s="495">
        <f>IF(D94="","-",+C140+1)</f>
        <v>2054</v>
      </c>
      <c r="D141" s="349">
        <f>IF(F140+SUM(E$100:E140)=D$93,F140,D$93-SUM(E$100:E140))</f>
        <v>0</v>
      </c>
      <c r="E141" s="509">
        <f>IF(+J97&lt;F140,J97,D141)</f>
        <v>0</v>
      </c>
      <c r="F141" s="510">
        <f t="shared" si="48"/>
        <v>0</v>
      </c>
      <c r="G141" s="510">
        <f t="shared" si="41"/>
        <v>0</v>
      </c>
      <c r="H141" s="523">
        <f t="shared" si="42"/>
        <v>0</v>
      </c>
      <c r="I141" s="572">
        <f t="shared" si="43"/>
        <v>0</v>
      </c>
      <c r="J141" s="504">
        <f t="shared" si="44"/>
        <v>0</v>
      </c>
      <c r="K141" s="504"/>
      <c r="L141" s="512"/>
      <c r="M141" s="504">
        <f t="shared" si="45"/>
        <v>0</v>
      </c>
      <c r="N141" s="512"/>
      <c r="O141" s="504">
        <f t="shared" si="46"/>
        <v>0</v>
      </c>
      <c r="P141" s="504">
        <f t="shared" si="47"/>
        <v>0</v>
      </c>
      <c r="Q141" s="243"/>
      <c r="R141" s="243"/>
      <c r="S141" s="243"/>
      <c r="T141" s="243"/>
      <c r="U141" s="243"/>
    </row>
    <row r="142" spans="2:21">
      <c r="B142" s="145" t="str">
        <f t="shared" si="40"/>
        <v/>
      </c>
      <c r="C142" s="495">
        <f>IF(D94="","-",+C141+1)</f>
        <v>2055</v>
      </c>
      <c r="D142" s="349">
        <f>IF(F141+SUM(E$100:E141)=D$93,F141,D$93-SUM(E$100:E141))</f>
        <v>0</v>
      </c>
      <c r="E142" s="509">
        <f>IF(+J97&lt;F141,J97,D142)</f>
        <v>0</v>
      </c>
      <c r="F142" s="510">
        <f t="shared" si="48"/>
        <v>0</v>
      </c>
      <c r="G142" s="510">
        <f t="shared" si="41"/>
        <v>0</v>
      </c>
      <c r="H142" s="523">
        <f t="shared" si="42"/>
        <v>0</v>
      </c>
      <c r="I142" s="572">
        <f t="shared" si="43"/>
        <v>0</v>
      </c>
      <c r="J142" s="504">
        <f t="shared" si="44"/>
        <v>0</v>
      </c>
      <c r="K142" s="504"/>
      <c r="L142" s="512"/>
      <c r="M142" s="504">
        <f t="shared" si="45"/>
        <v>0</v>
      </c>
      <c r="N142" s="512"/>
      <c r="O142" s="504">
        <f t="shared" si="46"/>
        <v>0</v>
      </c>
      <c r="P142" s="504">
        <f t="shared" si="47"/>
        <v>0</v>
      </c>
      <c r="Q142" s="243"/>
      <c r="R142" s="243"/>
      <c r="S142" s="243"/>
      <c r="T142" s="243"/>
      <c r="U142" s="243"/>
    </row>
    <row r="143" spans="2:21">
      <c r="B143" s="145" t="str">
        <f t="shared" si="40"/>
        <v/>
      </c>
      <c r="C143" s="495">
        <f>IF(D94="","-",+C142+1)</f>
        <v>2056</v>
      </c>
      <c r="D143" s="349">
        <f>IF(F142+SUM(E$100:E142)=D$93,F142,D$93-SUM(E$100:E142))</f>
        <v>0</v>
      </c>
      <c r="E143" s="509">
        <f>IF(+J97&lt;F142,J97,D143)</f>
        <v>0</v>
      </c>
      <c r="F143" s="510">
        <f t="shared" si="48"/>
        <v>0</v>
      </c>
      <c r="G143" s="510">
        <f t="shared" si="41"/>
        <v>0</v>
      </c>
      <c r="H143" s="523">
        <f t="shared" si="42"/>
        <v>0</v>
      </c>
      <c r="I143" s="572">
        <f t="shared" si="43"/>
        <v>0</v>
      </c>
      <c r="J143" s="504">
        <f t="shared" si="44"/>
        <v>0</v>
      </c>
      <c r="K143" s="504"/>
      <c r="L143" s="512"/>
      <c r="M143" s="504">
        <f t="shared" si="45"/>
        <v>0</v>
      </c>
      <c r="N143" s="512"/>
      <c r="O143" s="504">
        <f t="shared" si="46"/>
        <v>0</v>
      </c>
      <c r="P143" s="504">
        <f t="shared" si="47"/>
        <v>0</v>
      </c>
      <c r="Q143" s="243"/>
      <c r="R143" s="243"/>
      <c r="S143" s="243"/>
      <c r="T143" s="243"/>
      <c r="U143" s="243"/>
    </row>
    <row r="144" spans="2:21">
      <c r="B144" s="145" t="str">
        <f t="shared" si="40"/>
        <v/>
      </c>
      <c r="C144" s="495">
        <f>IF(D94="","-",+C143+1)</f>
        <v>2057</v>
      </c>
      <c r="D144" s="349">
        <f>IF(F143+SUM(E$100:E143)=D$93,F143,D$93-SUM(E$100:E143))</f>
        <v>0</v>
      </c>
      <c r="E144" s="509">
        <f>IF(+J97&lt;F143,J97,D144)</f>
        <v>0</v>
      </c>
      <c r="F144" s="510">
        <f t="shared" si="48"/>
        <v>0</v>
      </c>
      <c r="G144" s="510">
        <f t="shared" si="41"/>
        <v>0</v>
      </c>
      <c r="H144" s="523">
        <f t="shared" si="42"/>
        <v>0</v>
      </c>
      <c r="I144" s="572">
        <f t="shared" si="43"/>
        <v>0</v>
      </c>
      <c r="J144" s="504">
        <f t="shared" si="44"/>
        <v>0</v>
      </c>
      <c r="K144" s="504"/>
      <c r="L144" s="512"/>
      <c r="M144" s="504">
        <f t="shared" si="45"/>
        <v>0</v>
      </c>
      <c r="N144" s="512"/>
      <c r="O144" s="504">
        <f t="shared" si="46"/>
        <v>0</v>
      </c>
      <c r="P144" s="504">
        <f t="shared" si="47"/>
        <v>0</v>
      </c>
      <c r="Q144" s="243"/>
      <c r="R144" s="243"/>
      <c r="S144" s="243"/>
      <c r="T144" s="243"/>
      <c r="U144" s="243"/>
    </row>
    <row r="145" spans="2:21">
      <c r="B145" s="145" t="str">
        <f t="shared" si="40"/>
        <v/>
      </c>
      <c r="C145" s="495">
        <f>IF(D94="","-",+C144+1)</f>
        <v>2058</v>
      </c>
      <c r="D145" s="349">
        <f>IF(F144+SUM(E$100:E144)=D$93,F144,D$93-SUM(E$100:E144))</f>
        <v>0</v>
      </c>
      <c r="E145" s="509">
        <f>IF(+J97&lt;F144,J97,D145)</f>
        <v>0</v>
      </c>
      <c r="F145" s="510">
        <f t="shared" si="48"/>
        <v>0</v>
      </c>
      <c r="G145" s="510">
        <f t="shared" si="41"/>
        <v>0</v>
      </c>
      <c r="H145" s="523">
        <f t="shared" si="42"/>
        <v>0</v>
      </c>
      <c r="I145" s="572">
        <f t="shared" si="43"/>
        <v>0</v>
      </c>
      <c r="J145" s="504">
        <f t="shared" si="44"/>
        <v>0</v>
      </c>
      <c r="K145" s="504"/>
      <c r="L145" s="512"/>
      <c r="M145" s="504">
        <f t="shared" si="45"/>
        <v>0</v>
      </c>
      <c r="N145" s="512"/>
      <c r="O145" s="504">
        <f t="shared" si="46"/>
        <v>0</v>
      </c>
      <c r="P145" s="504">
        <f t="shared" si="47"/>
        <v>0</v>
      </c>
      <c r="Q145" s="243"/>
      <c r="R145" s="243"/>
      <c r="S145" s="243"/>
      <c r="T145" s="243"/>
      <c r="U145" s="243"/>
    </row>
    <row r="146" spans="2:21">
      <c r="B146" s="145" t="str">
        <f t="shared" si="40"/>
        <v/>
      </c>
      <c r="C146" s="495">
        <f>IF(D94="","-",+C145+1)</f>
        <v>2059</v>
      </c>
      <c r="D146" s="349">
        <f>IF(F145+SUM(E$100:E145)=D$93,F145,D$93-SUM(E$100:E145))</f>
        <v>0</v>
      </c>
      <c r="E146" s="509">
        <f>IF(+J97&lt;F145,J97,D146)</f>
        <v>0</v>
      </c>
      <c r="F146" s="510">
        <f t="shared" si="48"/>
        <v>0</v>
      </c>
      <c r="G146" s="510">
        <f t="shared" si="41"/>
        <v>0</v>
      </c>
      <c r="H146" s="523">
        <f t="shared" si="42"/>
        <v>0</v>
      </c>
      <c r="I146" s="572">
        <f t="shared" si="43"/>
        <v>0</v>
      </c>
      <c r="J146" s="504">
        <f t="shared" si="44"/>
        <v>0</v>
      </c>
      <c r="K146" s="504"/>
      <c r="L146" s="512"/>
      <c r="M146" s="504">
        <f t="shared" si="45"/>
        <v>0</v>
      </c>
      <c r="N146" s="512"/>
      <c r="O146" s="504">
        <f t="shared" si="46"/>
        <v>0</v>
      </c>
      <c r="P146" s="504">
        <f t="shared" si="47"/>
        <v>0</v>
      </c>
      <c r="Q146" s="243"/>
      <c r="R146" s="243"/>
      <c r="S146" s="243"/>
      <c r="T146" s="243"/>
      <c r="U146" s="243"/>
    </row>
    <row r="147" spans="2:21">
      <c r="B147" s="145" t="str">
        <f t="shared" si="40"/>
        <v/>
      </c>
      <c r="C147" s="495">
        <f>IF(D94="","-",+C146+1)</f>
        <v>2060</v>
      </c>
      <c r="D147" s="349">
        <f>IF(F146+SUM(E$100:E146)=D$93,F146,D$93-SUM(E$100:E146))</f>
        <v>0</v>
      </c>
      <c r="E147" s="509">
        <f>IF(+J97&lt;F146,J97,D147)</f>
        <v>0</v>
      </c>
      <c r="F147" s="510">
        <f t="shared" si="48"/>
        <v>0</v>
      </c>
      <c r="G147" s="510">
        <f t="shared" si="41"/>
        <v>0</v>
      </c>
      <c r="H147" s="523">
        <f t="shared" si="42"/>
        <v>0</v>
      </c>
      <c r="I147" s="572">
        <f t="shared" si="43"/>
        <v>0</v>
      </c>
      <c r="J147" s="504">
        <f t="shared" si="44"/>
        <v>0</v>
      </c>
      <c r="K147" s="504"/>
      <c r="L147" s="512"/>
      <c r="M147" s="504">
        <f t="shared" si="45"/>
        <v>0</v>
      </c>
      <c r="N147" s="512"/>
      <c r="O147" s="504">
        <f t="shared" si="46"/>
        <v>0</v>
      </c>
      <c r="P147" s="504">
        <f t="shared" si="47"/>
        <v>0</v>
      </c>
      <c r="Q147" s="243"/>
      <c r="R147" s="243"/>
      <c r="S147" s="243"/>
      <c r="T147" s="243"/>
      <c r="U147" s="243"/>
    </row>
    <row r="148" spans="2:21">
      <c r="B148" s="145" t="str">
        <f t="shared" si="40"/>
        <v/>
      </c>
      <c r="C148" s="495">
        <f>IF(D94="","-",+C147+1)</f>
        <v>2061</v>
      </c>
      <c r="D148" s="349">
        <f>IF(F147+SUM(E$100:E147)=D$93,F147,D$93-SUM(E$100:E147))</f>
        <v>0</v>
      </c>
      <c r="E148" s="509">
        <f>IF(+J97&lt;F147,J97,D148)</f>
        <v>0</v>
      </c>
      <c r="F148" s="510">
        <f t="shared" si="48"/>
        <v>0</v>
      </c>
      <c r="G148" s="510">
        <f t="shared" si="41"/>
        <v>0</v>
      </c>
      <c r="H148" s="523">
        <f t="shared" si="42"/>
        <v>0</v>
      </c>
      <c r="I148" s="572">
        <f t="shared" si="43"/>
        <v>0</v>
      </c>
      <c r="J148" s="504">
        <f t="shared" si="44"/>
        <v>0</v>
      </c>
      <c r="K148" s="504"/>
      <c r="L148" s="512"/>
      <c r="M148" s="504">
        <f t="shared" si="45"/>
        <v>0</v>
      </c>
      <c r="N148" s="512"/>
      <c r="O148" s="504">
        <f t="shared" si="46"/>
        <v>0</v>
      </c>
      <c r="P148" s="504">
        <f t="shared" si="47"/>
        <v>0</v>
      </c>
      <c r="Q148" s="243"/>
      <c r="R148" s="243"/>
      <c r="S148" s="243"/>
      <c r="T148" s="243"/>
      <c r="U148" s="243"/>
    </row>
    <row r="149" spans="2:21">
      <c r="B149" s="145" t="str">
        <f t="shared" si="40"/>
        <v/>
      </c>
      <c r="C149" s="495">
        <f>IF(D94="","-",+C148+1)</f>
        <v>2062</v>
      </c>
      <c r="D149" s="349">
        <f>IF(F148+SUM(E$100:E148)=D$93,F148,D$93-SUM(E$100:E148))</f>
        <v>0</v>
      </c>
      <c r="E149" s="509">
        <f>IF(+J97&lt;F148,J97,D149)</f>
        <v>0</v>
      </c>
      <c r="F149" s="510">
        <f t="shared" si="48"/>
        <v>0</v>
      </c>
      <c r="G149" s="510">
        <f t="shared" si="41"/>
        <v>0</v>
      </c>
      <c r="H149" s="523">
        <f t="shared" si="42"/>
        <v>0</v>
      </c>
      <c r="I149" s="572">
        <f t="shared" si="43"/>
        <v>0</v>
      </c>
      <c r="J149" s="504">
        <f t="shared" si="44"/>
        <v>0</v>
      </c>
      <c r="K149" s="504"/>
      <c r="L149" s="512"/>
      <c r="M149" s="504">
        <f t="shared" si="45"/>
        <v>0</v>
      </c>
      <c r="N149" s="512"/>
      <c r="O149" s="504">
        <f t="shared" si="46"/>
        <v>0</v>
      </c>
      <c r="P149" s="504">
        <f t="shared" si="47"/>
        <v>0</v>
      </c>
      <c r="Q149" s="243"/>
      <c r="R149" s="243"/>
      <c r="S149" s="243"/>
      <c r="T149" s="243"/>
      <c r="U149" s="243"/>
    </row>
    <row r="150" spans="2:21">
      <c r="B150" s="145" t="str">
        <f t="shared" si="40"/>
        <v/>
      </c>
      <c r="C150" s="495">
        <f>IF(D94="","-",+C149+1)</f>
        <v>2063</v>
      </c>
      <c r="D150" s="349">
        <f>IF(F149+SUM(E$100:E149)=D$93,F149,D$93-SUM(E$100:E149))</f>
        <v>0</v>
      </c>
      <c r="E150" s="509">
        <f>IF(+J97&lt;F149,J97,D150)</f>
        <v>0</v>
      </c>
      <c r="F150" s="510">
        <f t="shared" si="48"/>
        <v>0</v>
      </c>
      <c r="G150" s="510">
        <f t="shared" si="41"/>
        <v>0</v>
      </c>
      <c r="H150" s="523">
        <f t="shared" si="42"/>
        <v>0</v>
      </c>
      <c r="I150" s="572">
        <f t="shared" si="43"/>
        <v>0</v>
      </c>
      <c r="J150" s="504">
        <f t="shared" si="44"/>
        <v>0</v>
      </c>
      <c r="K150" s="504"/>
      <c r="L150" s="512"/>
      <c r="M150" s="504">
        <f t="shared" si="45"/>
        <v>0</v>
      </c>
      <c r="N150" s="512"/>
      <c r="O150" s="504">
        <f t="shared" si="46"/>
        <v>0</v>
      </c>
      <c r="P150" s="504">
        <f t="shared" si="47"/>
        <v>0</v>
      </c>
      <c r="Q150" s="243"/>
      <c r="R150" s="243"/>
      <c r="S150" s="243"/>
      <c r="T150" s="243"/>
      <c r="U150" s="243"/>
    </row>
    <row r="151" spans="2:21">
      <c r="B151" s="145" t="str">
        <f t="shared" si="40"/>
        <v/>
      </c>
      <c r="C151" s="495">
        <f>IF(D94="","-",+C150+1)</f>
        <v>2064</v>
      </c>
      <c r="D151" s="349">
        <f>IF(F150+SUM(E$100:E150)=D$93,F150,D$93-SUM(E$100:E150))</f>
        <v>0</v>
      </c>
      <c r="E151" s="509">
        <f>IF(+J97&lt;F150,J97,D151)</f>
        <v>0</v>
      </c>
      <c r="F151" s="510">
        <f t="shared" si="48"/>
        <v>0</v>
      </c>
      <c r="G151" s="510">
        <f t="shared" si="41"/>
        <v>0</v>
      </c>
      <c r="H151" s="523">
        <f t="shared" si="42"/>
        <v>0</v>
      </c>
      <c r="I151" s="572">
        <f t="shared" si="43"/>
        <v>0</v>
      </c>
      <c r="J151" s="504">
        <f t="shared" si="44"/>
        <v>0</v>
      </c>
      <c r="K151" s="504"/>
      <c r="L151" s="512"/>
      <c r="M151" s="504">
        <f t="shared" si="45"/>
        <v>0</v>
      </c>
      <c r="N151" s="512"/>
      <c r="O151" s="504">
        <f t="shared" si="46"/>
        <v>0</v>
      </c>
      <c r="P151" s="504">
        <f t="shared" si="47"/>
        <v>0</v>
      </c>
      <c r="Q151" s="243"/>
      <c r="R151" s="243"/>
      <c r="S151" s="243"/>
      <c r="T151" s="243"/>
      <c r="U151" s="243"/>
    </row>
    <row r="152" spans="2:21">
      <c r="B152" s="145" t="str">
        <f t="shared" si="40"/>
        <v/>
      </c>
      <c r="C152" s="495">
        <f>IF(D94="","-",+C151+1)</f>
        <v>2065</v>
      </c>
      <c r="D152" s="349">
        <f>IF(F151+SUM(E$100:E151)=D$93,F151,D$93-SUM(E$100:E151))</f>
        <v>0</v>
      </c>
      <c r="E152" s="509">
        <f>IF(+J97&lt;F151,J97,D152)</f>
        <v>0</v>
      </c>
      <c r="F152" s="510">
        <f t="shared" si="48"/>
        <v>0</v>
      </c>
      <c r="G152" s="510">
        <f t="shared" si="41"/>
        <v>0</v>
      </c>
      <c r="H152" s="523">
        <f t="shared" si="42"/>
        <v>0</v>
      </c>
      <c r="I152" s="572">
        <f t="shared" si="43"/>
        <v>0</v>
      </c>
      <c r="J152" s="504">
        <f t="shared" si="44"/>
        <v>0</v>
      </c>
      <c r="K152" s="504"/>
      <c r="L152" s="512"/>
      <c r="M152" s="504">
        <f t="shared" si="45"/>
        <v>0</v>
      </c>
      <c r="N152" s="512"/>
      <c r="O152" s="504">
        <f t="shared" si="46"/>
        <v>0</v>
      </c>
      <c r="P152" s="504">
        <f t="shared" si="47"/>
        <v>0</v>
      </c>
      <c r="Q152" s="243"/>
      <c r="R152" s="243"/>
      <c r="S152" s="243"/>
      <c r="T152" s="243"/>
      <c r="U152" s="243"/>
    </row>
    <row r="153" spans="2:21">
      <c r="B153" s="145" t="str">
        <f t="shared" si="40"/>
        <v/>
      </c>
      <c r="C153" s="495">
        <f>IF(D94="","-",+C152+1)</f>
        <v>2066</v>
      </c>
      <c r="D153" s="349">
        <f>IF(F152+SUM(E$100:E152)=D$93,F152,D$93-SUM(E$100:E152))</f>
        <v>0</v>
      </c>
      <c r="E153" s="509">
        <f>IF(+J97&lt;F152,J97,D153)</f>
        <v>0</v>
      </c>
      <c r="F153" s="510">
        <f t="shared" si="48"/>
        <v>0</v>
      </c>
      <c r="G153" s="510">
        <f t="shared" si="41"/>
        <v>0</v>
      </c>
      <c r="H153" s="523">
        <f t="shared" si="42"/>
        <v>0</v>
      </c>
      <c r="I153" s="572">
        <f t="shared" si="43"/>
        <v>0</v>
      </c>
      <c r="J153" s="504">
        <f t="shared" si="44"/>
        <v>0</v>
      </c>
      <c r="K153" s="504"/>
      <c r="L153" s="512"/>
      <c r="M153" s="504">
        <f t="shared" si="45"/>
        <v>0</v>
      </c>
      <c r="N153" s="512"/>
      <c r="O153" s="504">
        <f t="shared" si="46"/>
        <v>0</v>
      </c>
      <c r="P153" s="504">
        <f t="shared" si="47"/>
        <v>0</v>
      </c>
      <c r="Q153" s="243"/>
      <c r="R153" s="243"/>
      <c r="S153" s="243"/>
      <c r="T153" s="243"/>
      <c r="U153" s="243"/>
    </row>
    <row r="154" spans="2:21">
      <c r="B154" s="145" t="str">
        <f t="shared" si="40"/>
        <v/>
      </c>
      <c r="C154" s="495">
        <f>IF(D94="","-",+C153+1)</f>
        <v>2067</v>
      </c>
      <c r="D154" s="349">
        <f>IF(F153+SUM(E$100:E153)=D$93,F153,D$93-SUM(E$100:E153))</f>
        <v>0</v>
      </c>
      <c r="E154" s="509">
        <f>IF(+J97&lt;F153,J97,D154)</f>
        <v>0</v>
      </c>
      <c r="F154" s="510">
        <f t="shared" si="48"/>
        <v>0</v>
      </c>
      <c r="G154" s="510">
        <f t="shared" si="41"/>
        <v>0</v>
      </c>
      <c r="H154" s="523">
        <f t="shared" si="42"/>
        <v>0</v>
      </c>
      <c r="I154" s="572">
        <f t="shared" si="43"/>
        <v>0</v>
      </c>
      <c r="J154" s="504">
        <f t="shared" si="44"/>
        <v>0</v>
      </c>
      <c r="K154" s="504"/>
      <c r="L154" s="512"/>
      <c r="M154" s="504">
        <f t="shared" si="45"/>
        <v>0</v>
      </c>
      <c r="N154" s="512"/>
      <c r="O154" s="504">
        <f t="shared" si="46"/>
        <v>0</v>
      </c>
      <c r="P154" s="504">
        <f t="shared" si="47"/>
        <v>0</v>
      </c>
      <c r="Q154" s="243"/>
      <c r="R154" s="243"/>
      <c r="S154" s="243"/>
      <c r="T154" s="243"/>
      <c r="U154" s="243"/>
    </row>
    <row r="155" spans="2:21" ht="13.5" thickBot="1">
      <c r="B155" s="145" t="str">
        <f t="shared" si="40"/>
        <v/>
      </c>
      <c r="C155" s="524">
        <f>IF(D94="","-",+C154+1)</f>
        <v>2068</v>
      </c>
      <c r="D155" s="527">
        <f>IF(F154+SUM(E$100:E154)=D$93,F154,D$93-SUM(E$100:E154))</f>
        <v>0</v>
      </c>
      <c r="E155" s="526">
        <f>IF(+J97&lt;F154,J97,D155)</f>
        <v>0</v>
      </c>
      <c r="F155" s="527">
        <f t="shared" si="48"/>
        <v>0</v>
      </c>
      <c r="G155" s="527">
        <f t="shared" si="41"/>
        <v>0</v>
      </c>
      <c r="H155" s="528">
        <f t="shared" si="42"/>
        <v>0</v>
      </c>
      <c r="I155" s="573">
        <f t="shared" si="43"/>
        <v>0</v>
      </c>
      <c r="J155" s="531">
        <f t="shared" si="44"/>
        <v>0</v>
      </c>
      <c r="K155" s="504"/>
      <c r="L155" s="530"/>
      <c r="M155" s="531">
        <f t="shared" si="45"/>
        <v>0</v>
      </c>
      <c r="N155" s="530"/>
      <c r="O155" s="531">
        <f t="shared" si="46"/>
        <v>0</v>
      </c>
      <c r="P155" s="531">
        <f t="shared" si="47"/>
        <v>0</v>
      </c>
      <c r="Q155" s="243"/>
      <c r="R155" s="243"/>
      <c r="S155" s="243"/>
      <c r="T155" s="243"/>
      <c r="U155" s="243"/>
    </row>
    <row r="156" spans="2:21">
      <c r="C156" s="349" t="s">
        <v>75</v>
      </c>
      <c r="D156" s="294"/>
      <c r="E156" s="294">
        <f>SUM(E100:E155)</f>
        <v>28914235.740000002</v>
      </c>
      <c r="F156" s="294"/>
      <c r="G156" s="294"/>
      <c r="H156" s="294">
        <f>SUM(H100:H155)</f>
        <v>73505311.037572533</v>
      </c>
      <c r="I156" s="294">
        <f>SUM(I100:I155)</f>
        <v>73505311.037572533</v>
      </c>
      <c r="J156" s="294">
        <f>SUM(J100:J155)</f>
        <v>0</v>
      </c>
      <c r="K156" s="294"/>
      <c r="L156" s="294"/>
      <c r="M156" s="294"/>
      <c r="N156" s="294"/>
      <c r="O156" s="294"/>
      <c r="P156" s="243"/>
      <c r="Q156" s="243"/>
      <c r="R156" s="243"/>
      <c r="S156" s="243"/>
      <c r="T156" s="243"/>
      <c r="U156" s="243"/>
    </row>
    <row r="157" spans="2:21">
      <c r="D157" s="292"/>
      <c r="E157" s="243"/>
      <c r="F157" s="243"/>
      <c r="G157" s="243"/>
      <c r="H157" s="243"/>
      <c r="I157" s="325"/>
      <c r="J157" s="325"/>
      <c r="K157" s="294"/>
      <c r="L157" s="325"/>
      <c r="M157" s="325"/>
      <c r="N157" s="325"/>
      <c r="O157" s="325"/>
      <c r="P157" s="243"/>
      <c r="Q157" s="243"/>
      <c r="R157" s="243"/>
      <c r="S157" s="243"/>
      <c r="T157" s="243"/>
      <c r="U157" s="243"/>
    </row>
    <row r="158" spans="2:21">
      <c r="C158" s="574" t="s">
        <v>90</v>
      </c>
      <c r="D158" s="292"/>
      <c r="E158" s="243"/>
      <c r="F158" s="243"/>
      <c r="G158" s="243"/>
      <c r="H158" s="243"/>
      <c r="I158" s="325"/>
      <c r="J158" s="325"/>
      <c r="K158" s="294"/>
      <c r="L158" s="325"/>
      <c r="M158" s="325"/>
      <c r="N158" s="325"/>
      <c r="O158" s="325"/>
      <c r="P158" s="243"/>
      <c r="Q158" s="243"/>
      <c r="R158" s="243"/>
      <c r="S158" s="243"/>
      <c r="T158" s="243"/>
      <c r="U158" s="243"/>
    </row>
    <row r="159" spans="2:21">
      <c r="D159" s="292"/>
      <c r="E159" s="243"/>
      <c r="F159" s="243"/>
      <c r="G159" s="243"/>
      <c r="H159" s="243"/>
      <c r="I159" s="325"/>
      <c r="J159" s="325"/>
      <c r="K159" s="294"/>
      <c r="L159" s="325"/>
      <c r="M159" s="325"/>
      <c r="N159" s="325"/>
      <c r="O159" s="325"/>
      <c r="P159" s="243"/>
      <c r="Q159" s="243"/>
      <c r="R159" s="243"/>
      <c r="S159" s="243"/>
      <c r="T159" s="243"/>
      <c r="U159" s="243"/>
    </row>
    <row r="160" spans="2:21">
      <c r="C160" s="532" t="s">
        <v>96</v>
      </c>
      <c r="D160" s="349"/>
      <c r="E160" s="349"/>
      <c r="F160" s="349"/>
      <c r="G160" s="349"/>
      <c r="H160" s="294"/>
      <c r="I160" s="294"/>
      <c r="J160" s="350"/>
      <c r="K160" s="350"/>
      <c r="L160" s="350"/>
      <c r="M160" s="350"/>
      <c r="N160" s="350"/>
      <c r="O160" s="350"/>
      <c r="P160" s="243"/>
      <c r="Q160" s="243"/>
      <c r="R160" s="243"/>
      <c r="S160" s="243"/>
      <c r="T160" s="243"/>
      <c r="U160" s="243"/>
    </row>
    <row r="161" spans="3:21">
      <c r="C161" s="575" t="s">
        <v>76</v>
      </c>
      <c r="D161" s="349"/>
      <c r="E161" s="349"/>
      <c r="F161" s="349"/>
      <c r="G161" s="349"/>
      <c r="H161" s="294"/>
      <c r="I161" s="294"/>
      <c r="J161" s="350"/>
      <c r="K161" s="350"/>
      <c r="L161" s="350"/>
      <c r="M161" s="350"/>
      <c r="N161" s="350"/>
      <c r="O161" s="350"/>
      <c r="P161" s="243"/>
      <c r="Q161" s="243"/>
      <c r="R161" s="243"/>
      <c r="S161" s="243"/>
      <c r="T161" s="243"/>
      <c r="U161" s="243"/>
    </row>
    <row r="162" spans="3:21">
      <c r="C162" s="575" t="s">
        <v>77</v>
      </c>
      <c r="D162" s="349"/>
      <c r="E162" s="349"/>
      <c r="F162" s="349"/>
      <c r="G162" s="349"/>
      <c r="H162" s="294"/>
      <c r="I162" s="294"/>
      <c r="J162" s="350"/>
      <c r="K162" s="350"/>
      <c r="L162" s="350"/>
      <c r="M162" s="350"/>
      <c r="N162" s="350"/>
      <c r="O162" s="350"/>
      <c r="P162" s="243"/>
      <c r="Q162" s="243"/>
      <c r="R162" s="243"/>
      <c r="S162" s="243"/>
      <c r="T162" s="243"/>
      <c r="U162" s="243"/>
    </row>
    <row r="163" spans="3:21" ht="18">
      <c r="C163" s="575"/>
      <c r="D163" s="349"/>
      <c r="E163" s="349"/>
      <c r="F163" s="349"/>
      <c r="G163" s="349"/>
      <c r="H163" s="294"/>
      <c r="I163" s="294"/>
      <c r="J163" s="350"/>
      <c r="K163" s="350"/>
      <c r="L163" s="350"/>
      <c r="M163" s="350"/>
      <c r="N163" s="350"/>
      <c r="P163" s="583" t="s">
        <v>129</v>
      </c>
      <c r="Q163" s="243"/>
      <c r="R163" s="243"/>
      <c r="S163" s="243"/>
      <c r="T163" s="243"/>
      <c r="U163" s="243"/>
    </row>
  </sheetData>
  <phoneticPr fontId="0" type="noConversion"/>
  <conditionalFormatting sqref="C17:C73">
    <cfRule type="cellIs" dxfId="49" priority="1" stopIfTrue="1" operator="equal">
      <formula>$I$10</formula>
    </cfRule>
  </conditionalFormatting>
  <conditionalFormatting sqref="C100:C155">
    <cfRule type="cellIs" dxfId="48"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378BEED4-B70A-446A-8768-49E42A56E7C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23</vt:i4>
      </vt:variant>
    </vt:vector>
  </HeadingPairs>
  <TitlesOfParts>
    <vt:vector size="50" baseType="lpstr">
      <vt:lpstr>OKT.Sch.11.Rates</vt:lpstr>
      <vt:lpstr>OKT.WS.F.BPU.ATRR.Projected</vt:lpstr>
      <vt:lpstr>OKT.WS.G.BPU.ATRR.True-up</vt:lpstr>
      <vt:lpstr>OKT.001</vt:lpstr>
      <vt:lpstr>OKT.002</vt:lpstr>
      <vt:lpstr>OKT.003</vt:lpstr>
      <vt:lpstr>OKT.004</vt:lpstr>
      <vt:lpstr>OKT.005</vt:lpstr>
      <vt:lpstr>OKT.006</vt:lpstr>
      <vt:lpstr>OKT.007</vt:lpstr>
      <vt:lpstr>OKT.008</vt:lpstr>
      <vt:lpstr>OKT.009</vt:lpstr>
      <vt:lpstr>OKT.010</vt:lpstr>
      <vt:lpstr>OKT.011</vt:lpstr>
      <vt:lpstr>OKT.012</vt:lpstr>
      <vt:lpstr>OKT.013</vt:lpstr>
      <vt:lpstr>OKT.014</vt:lpstr>
      <vt:lpstr>OKT.015</vt:lpstr>
      <vt:lpstr>OKT.016</vt:lpstr>
      <vt:lpstr>OKT.017</vt:lpstr>
      <vt:lpstr>OKT.018</vt:lpstr>
      <vt:lpstr>OKT.019</vt:lpstr>
      <vt:lpstr>OKT.020</vt:lpstr>
      <vt:lpstr>OKT.021</vt:lpstr>
      <vt:lpstr>OKT.022</vt:lpstr>
      <vt:lpstr>OKT.023</vt:lpstr>
      <vt:lpstr>OKT.xyz - blank</vt:lpstr>
      <vt:lpstr>OKT.001!Print_Area</vt:lpstr>
      <vt:lpstr>OKT.002!Print_Area</vt:lpstr>
      <vt:lpstr>OKT.003!Print_Area</vt:lpstr>
      <vt:lpstr>OKT.004!Print_Area</vt:lpstr>
      <vt:lpstr>OKT.005!Print_Area</vt:lpstr>
      <vt:lpstr>OKT.006!Print_Area</vt:lpstr>
      <vt:lpstr>OKT.007!Print_Area</vt:lpstr>
      <vt:lpstr>OKT.008!Print_Area</vt:lpstr>
      <vt:lpstr>OKT.009!Print_Area</vt:lpstr>
      <vt:lpstr>OKT.010!Print_Area</vt:lpstr>
      <vt:lpstr>OKT.011!Print_Area</vt:lpstr>
      <vt:lpstr>OKT.012!Print_Area</vt:lpstr>
      <vt:lpstr>OKT.013!Print_Area</vt:lpstr>
      <vt:lpstr>OKT.014!Print_Area</vt:lpstr>
      <vt:lpstr>OKT.015!Print_Area</vt:lpstr>
      <vt:lpstr>OKT.016!Print_Area</vt:lpstr>
      <vt:lpstr>OKT.017!Print_Area</vt:lpstr>
      <vt:lpstr>OKT.Sch.11.Rates!Print_Area</vt:lpstr>
      <vt:lpstr>OKT.WS.F.BPU.ATRR.Projected!Print_Area</vt:lpstr>
      <vt:lpstr>'OKT.WS.G.BPU.ATRR.True-up'!Print_Area</vt:lpstr>
      <vt:lpstr>'OKT.xyz - blank'!Print_Area</vt:lpstr>
      <vt:lpstr>OKT.WS.F.BPU.ATRR.Projected!Print_Titles</vt:lpstr>
      <vt:lpstr>'OKT.WS.G.BPU.ATRR.True-up'!Print_Titles</vt:lpstr>
    </vt:vector>
  </TitlesOfParts>
  <Company>AEP-IT-CPS 4/30/3-(8-835-3050)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R.Pennybaker</dc:creator>
  <cp:keywords/>
  <cp:lastModifiedBy>s177040</cp:lastModifiedBy>
  <cp:lastPrinted>2021-11-01T14:25:04Z</cp:lastPrinted>
  <dcterms:created xsi:type="dcterms:W3CDTF">2009-05-11T14:02:48Z</dcterms:created>
  <dcterms:modified xsi:type="dcterms:W3CDTF">2021-11-01T14:59:55Z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d54ab196-475d-4be3-8542-e90186861649</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