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ORMULA RATES PJM\PJM Transmission Rates\Projected\2024 Projection\OPCOs\Sent to PJM\"/>
    </mc:Choice>
  </mc:AlternateContent>
  <xr:revisionPtr revIDLastSave="0" documentId="8_{6620373E-0906-4B6E-BC7F-88365145D1CF}" xr6:coauthVersionLast="47" xr6:coauthVersionMax="47" xr10:uidLastSave="{00000000-0000-0000-0000-000000000000}"/>
  <bookViews>
    <workbookView xWindow="-120" yWindow="-120" windowWidth="29040" windowHeight="15840" tabRatio="848" xr2:uid="{00000000-000D-0000-FFFF-FFFF00000000}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Rates'!$A$1:$U$57</definedName>
    <definedName name="Zip">#REF!</definedName>
  </definedNames>
  <calcPr calcId="191029"/>
  <customWorkbookViews>
    <customWorkbookView name="American Electric Power® - Personal View" guid="{59817C1F-0731-403A-A1D5-70099C98272D}" mergeInterval="0" personalView="1" maximized="1" windowWidth="1276" windowHeight="825" tabRatio="941" activeSheetId="1"/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5" i="2" l="1"/>
  <c r="I38" i="1" l="1"/>
  <c r="D43" i="1" l="1"/>
  <c r="D33" i="2"/>
  <c r="I33" i="1"/>
  <c r="E24" i="2"/>
  <c r="I55" i="1"/>
  <c r="I28" i="1"/>
  <c r="I23" i="1"/>
  <c r="B17" i="1"/>
  <c r="B19" i="1" s="1"/>
  <c r="B21" i="1" s="1"/>
  <c r="B22" i="1" s="1"/>
  <c r="B23" i="1" s="1"/>
  <c r="B24" i="1" s="1"/>
  <c r="G32" i="1"/>
  <c r="D32" i="1"/>
  <c r="D33" i="1"/>
  <c r="D51" i="1"/>
  <c r="D50" i="1"/>
  <c r="D49" i="1"/>
  <c r="D48" i="1"/>
  <c r="D47" i="1"/>
  <c r="D46" i="1"/>
  <c r="D45" i="1"/>
  <c r="B16" i="2"/>
  <c r="B17" i="2" s="1"/>
  <c r="D24" i="2"/>
  <c r="D25" i="2"/>
  <c r="G23" i="1"/>
  <c r="G28" i="1"/>
  <c r="D54" i="1"/>
  <c r="G55" i="1"/>
  <c r="G25" i="2"/>
  <c r="G24" i="2"/>
  <c r="I32" i="1"/>
  <c r="E18" i="2" l="1"/>
  <c r="B18" i="2"/>
  <c r="B26" i="1"/>
  <c r="G54" i="1"/>
  <c r="G26" i="1"/>
  <c r="B20" i="2" l="1"/>
  <c r="B22" i="2" s="1"/>
  <c r="B28" i="1"/>
  <c r="B30" i="1" s="1"/>
  <c r="B26" i="2" l="1"/>
  <c r="B24" i="2"/>
  <c r="B25" i="2" s="1"/>
  <c r="E22" i="2"/>
  <c r="B32" i="1"/>
  <c r="B33" i="1" s="1"/>
  <c r="B34" i="1"/>
  <c r="B40" i="1" s="1"/>
  <c r="G30" i="1"/>
  <c r="B30" i="2" l="1"/>
  <c r="B28" i="2"/>
  <c r="B43" i="1"/>
  <c r="B45" i="1" s="1"/>
  <c r="G40" i="1"/>
  <c r="B33" i="2" l="1"/>
  <c r="B35" i="2" s="1"/>
  <c r="B46" i="1"/>
  <c r="B47" i="1" s="1"/>
  <c r="B48" i="1" s="1"/>
  <c r="B49" i="1" s="1"/>
  <c r="B50" i="1" s="1"/>
  <c r="B51" i="1" s="1"/>
  <c r="B54" i="1" s="1"/>
  <c r="B55" i="1" s="1"/>
  <c r="B56" i="1" s="1"/>
  <c r="B57" i="1" s="1"/>
  <c r="G49" i="1"/>
  <c r="G51" i="1"/>
  <c r="G48" i="1"/>
  <c r="G50" i="1"/>
  <c r="G47" i="1"/>
  <c r="G46" i="1"/>
  <c r="G45" i="1"/>
  <c r="E35" i="2" l="1"/>
  <c r="G20" i="2" l="1"/>
  <c r="Q18" i="2" l="1"/>
  <c r="Q22" i="2" s="1"/>
  <c r="S19" i="1" l="1"/>
  <c r="S24" i="1" l="1"/>
  <c r="S54" i="1" l="1"/>
  <c r="S26" i="1"/>
  <c r="S30" i="1" s="1"/>
  <c r="Q30" i="2" l="1"/>
  <c r="S40" i="1" l="1"/>
  <c r="S57" i="1" l="1"/>
  <c r="O24" i="1" l="1"/>
  <c r="O54" i="1" s="1"/>
  <c r="O57" i="1" s="1"/>
  <c r="M18" i="2" l="1"/>
  <c r="M22" i="2" s="1"/>
  <c r="O19" i="1" l="1"/>
  <c r="O26" i="1" s="1"/>
  <c r="O30" i="1" s="1"/>
  <c r="O18" i="2" l="1"/>
  <c r="O22" i="2" s="1"/>
  <c r="Q19" i="1" l="1"/>
  <c r="Q24" i="1" l="1"/>
  <c r="Q54" i="1" l="1"/>
  <c r="Q57" i="1" s="1"/>
  <c r="Q26" i="1"/>
  <c r="Q30" i="1" s="1"/>
  <c r="I36" i="1" l="1"/>
  <c r="K18" i="2" l="1"/>
  <c r="K22" i="2" s="1"/>
  <c r="I18" i="2" l="1"/>
  <c r="I22" i="2" s="1"/>
  <c r="K19" i="1" l="1"/>
  <c r="K24" i="1" l="1"/>
  <c r="K54" i="1" l="1"/>
  <c r="K26" i="1"/>
  <c r="K30" i="1" l="1"/>
  <c r="K57" i="1"/>
  <c r="I56" i="1" l="1"/>
  <c r="I17" i="1" l="1"/>
  <c r="G17" i="2" l="1"/>
  <c r="G16" i="2"/>
  <c r="S18" i="2" l="1"/>
  <c r="S22" i="2" s="1"/>
  <c r="G22" i="2" s="1"/>
  <c r="G15" i="2"/>
  <c r="G18" i="2" s="1"/>
  <c r="U19" i="1" l="1"/>
  <c r="U24" i="1" l="1"/>
  <c r="U54" i="1" l="1"/>
  <c r="U57" i="1" s="1"/>
  <c r="U26" i="1"/>
  <c r="U30" i="1" s="1"/>
  <c r="M19" i="1" l="1"/>
  <c r="I15" i="1"/>
  <c r="I19" i="1" l="1"/>
  <c r="M24" i="1" l="1"/>
  <c r="I22" i="1"/>
  <c r="I24" i="1" s="1"/>
  <c r="M54" i="1" l="1"/>
  <c r="M26" i="1"/>
  <c r="M30" i="1" l="1"/>
  <c r="I26" i="1"/>
  <c r="I30" i="1" s="1"/>
  <c r="M57" i="1"/>
  <c r="I54" i="1"/>
  <c r="I57" i="1" s="1"/>
  <c r="S30" i="2" l="1"/>
  <c r="I30" i="2" l="1"/>
  <c r="U40" i="1"/>
  <c r="M30" i="2" l="1"/>
  <c r="M40" i="1"/>
  <c r="K30" i="2" l="1"/>
  <c r="Q40" i="1"/>
  <c r="O40" i="1"/>
  <c r="O30" i="2"/>
  <c r="G26" i="2" l="1"/>
  <c r="G30" i="2"/>
  <c r="G35" i="2" s="1"/>
  <c r="I34" i="1" l="1"/>
  <c r="I40" i="1" s="1"/>
  <c r="I45" i="1" s="1"/>
  <c r="K40" i="1"/>
  <c r="I51" i="1" l="1"/>
  <c r="I46" i="1"/>
  <c r="I49" i="1"/>
  <c r="I48" i="1"/>
  <c r="I50" i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s273689</author>
  </authors>
  <commentList>
    <comment ref="U38" authorId="0" shapeId="0" xr:uid="{7F140B69-81EE-44F5-9427-13D198C44240}">
      <text>
        <r>
          <rPr>
            <b/>
            <sz val="9"/>
            <color indexed="81"/>
            <rFont val="Tahoma"/>
            <family val="2"/>
          </rPr>
          <t>JI-40 fix: 4560012 transmission balance was not picked up in 2022 true-up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s273689</author>
  </authors>
  <commentList>
    <comment ref="G33" authorId="0" shapeId="0" xr:uid="{E84BEE35-7840-427F-9E11-7D002D1E0211}">
      <text>
        <r>
          <rPr>
            <b/>
            <sz val="9"/>
            <color indexed="81"/>
            <rFont val="Tahoma"/>
            <family val="2"/>
          </rPr>
          <t xml:space="preserve">Comes from Randy Holiday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<sst xmlns="http://schemas.openxmlformats.org/spreadsheetml/2006/main" count="118" uniqueCount="65">
  <si>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</si>
  <si>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</si>
  <si>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</si>
  <si>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</si>
  <si>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</si>
  <si>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</si>
  <si>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</si>
  <si>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</si>
  <si>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</si>
  <si>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</si>
  <si>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</si>
  <si>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</si>
  <si>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</si>
  <si>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</si>
  <si>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</si>
  <si>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</si>
  <si>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</si>
  <si>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</si>
  <si>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</si>
  <si>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</si>
  <si>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</si>
  <si>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</si>
  <si>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</si>
  <si>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</si>
  <si>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</si>
  <si>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</si>
  <si>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</si>
  <si>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</si>
  <si>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</si>
  <si>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</si>
  <si>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</si>
  <si>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</si>
  <si>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</si>
  <si>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</si>
  <si>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</si>
  <si>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</si>
  <si>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</si>
  <si>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</si>
  <si>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</si>
  <si>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</si>
  <si>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</si>
  <si>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</si>
  <si>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</si>
  <si>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</si>
  <si>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</si>
  <si>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</si>
  <si>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</si>
  <si>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</si>
  <si>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</si>
  <si>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</si>
  <si>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</si>
  <si>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</si>
  <si>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</si>
  <si>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</si>
  <si>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</si>
  <si>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</si>
  <si>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</si>
  <si>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</si>
  <si>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</si>
  <si>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</si>
  <si>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</si>
  <si>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11b</t>
  </si>
  <si>
    <t>Adjusments from prior Annual Updates</t>
  </si>
  <si>
    <t>Forecasted Costs Through December 31, 2024</t>
  </si>
  <si>
    <t>PRIOR YEAR TRUE-UP (2022 including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</si>
</sst>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0000"/>
    <numFmt numFmtId="171" formatCode="&quot;$&quot;#,##0.0000"/>
    <numFmt numFmtId="172" formatCode="[$-409]mmm\-yy;@"/>
  </numFmts>
  <fonts count="15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30">
    <xf numFmtId="0" fontId="0" fillId="0" borderId="0" xfId="0"/>
    <xf numFmtId="166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66" fontId="2" fillId="0" borderId="0" xfId="3" applyFont="1" applyAlignment="1" applyProtection="1">
      <protection locked="0"/>
    </xf>
    <xf numFmtId="166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66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5" fontId="5" fillId="0" borderId="0" xfId="3" applyNumberFormat="1" applyFont="1" applyAlignment="1"/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5" fontId="5" fillId="0" borderId="0" xfId="3" applyNumberFormat="1" applyFont="1" applyAlignment="1" applyProtection="1">
      <protection locked="0"/>
    </xf>
    <xf numFmtId="167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66" fontId="5" fillId="0" borderId="0" xfId="3" applyFont="1" applyAlignment="1" applyProtection="1">
      <alignment horizontal="center"/>
      <protection locked="0"/>
    </xf>
    <xf numFmtId="166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66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66" fontId="5" fillId="0" borderId="3" xfId="3" applyFont="1" applyBorder="1" applyAlignment="1" applyProtection="1">
      <protection locked="0"/>
    </xf>
    <xf numFmtId="165" fontId="7" fillId="0" borderId="4" xfId="3" applyNumberFormat="1" applyFont="1" applyBorder="1" applyAlignment="1" applyProtection="1">
      <protection locked="0"/>
    </xf>
    <xf numFmtId="165" fontId="5" fillId="0" borderId="5" xfId="3" applyNumberFormat="1" applyFont="1" applyBorder="1" applyAlignment="1" applyProtection="1">
      <protection locked="0"/>
    </xf>
    <xf numFmtId="165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66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3" applyNumberFormat="1" applyFont="1" applyFill="1"/>
    <xf numFmtId="167" fontId="5" fillId="0" borderId="0" xfId="0" applyNumberFormat="1" applyFont="1"/>
    <xf numFmtId="0" fontId="5" fillId="0" borderId="3" xfId="0" applyFont="1" applyBorder="1"/>
    <xf numFmtId="168" fontId="7" fillId="0" borderId="4" xfId="2" applyNumberFormat="1" applyFont="1" applyBorder="1"/>
    <xf numFmtId="167" fontId="5" fillId="0" borderId="6" xfId="0" applyNumberFormat="1" applyFont="1" applyBorder="1"/>
    <xf numFmtId="0" fontId="2" fillId="0" borderId="0" xfId="0" applyFont="1"/>
    <xf numFmtId="17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6" fontId="2" fillId="0" borderId="0" xfId="3" applyFont="1" applyFill="1" applyAlignment="1"/>
    <xf numFmtId="165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65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65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66" fontId="5" fillId="0" borderId="0" xfId="3" applyFont="1" applyFill="1" applyAlignment="1" applyProtection="1">
      <protection locked="0"/>
    </xf>
    <xf numFmtId="166" fontId="10" fillId="0" borderId="2" xfId="3" applyFont="1" applyBorder="1" applyAlignment="1"/>
    <xf numFmtId="171" fontId="5" fillId="0" borderId="0" xfId="3" applyNumberFormat="1" applyFont="1" applyAlignment="1"/>
    <xf numFmtId="166" fontId="5" fillId="0" borderId="0" xfId="3" applyNumberFormat="1" applyFont="1" applyAlignment="1"/>
    <xf numFmtId="165" fontId="5" fillId="0" borderId="0" xfId="1" applyNumberFormat="1" applyFont="1" applyAlignment="1"/>
    <xf numFmtId="165" fontId="5" fillId="0" borderId="0" xfId="3" applyNumberFormat="1" applyFont="1" applyFill="1" applyAlignment="1"/>
    <xf numFmtId="165" fontId="5" fillId="0" borderId="0" xfId="3" applyNumberFormat="1" applyFont="1" applyFill="1" applyAlignment="1" applyProtection="1">
      <protection locked="0"/>
    </xf>
    <xf numFmtId="165" fontId="5" fillId="0" borderId="5" xfId="3" applyNumberFormat="1" applyFont="1" applyFill="1" applyBorder="1" applyAlignment="1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Alignment="1" applyProtection="1">
      <protection locked="0"/>
    </xf>
    <xf numFmtId="165" fontId="5" fillId="0" borderId="7" xfId="3" applyNumberFormat="1" applyFont="1" applyFill="1" applyBorder="1" applyAlignment="1"/>
    <xf numFmtId="165" fontId="5" fillId="0" borderId="0" xfId="1" applyNumberFormat="1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65" fontId="5" fillId="0" borderId="7" xfId="1" applyNumberFormat="1" applyFont="1" applyBorder="1" applyAlignment="1" applyProtection="1">
      <protection locked="0"/>
    </xf>
    <xf numFmtId="165" fontId="5" fillId="0" borderId="7" xfId="1" applyNumberFormat="1" applyFont="1" applyFill="1" applyBorder="1" applyAlignment="1" applyProtection="1">
      <protection locked="0"/>
    </xf>
    <xf numFmtId="165" fontId="5" fillId="0" borderId="7" xfId="1" applyNumberFormat="1" applyFont="1" applyBorder="1" applyAlignment="1"/>
    <xf numFmtId="165" fontId="5" fillId="0" borderId="0" xfId="1" applyNumberFormat="1" applyFont="1" applyFill="1" applyAlignment="1"/>
    <xf numFmtId="0" fontId="5" fillId="0" borderId="0" xfId="1" applyNumberFormat="1" applyFont="1" applyAlignment="1"/>
    <xf numFmtId="165" fontId="9" fillId="3" borderId="0" xfId="3" applyNumberFormat="1" applyFont="1" applyFill="1" applyAlignment="1"/>
    <xf numFmtId="165" fontId="9" fillId="0" borderId="0" xfId="3" applyNumberFormat="1" applyFont="1" applyProtection="1">
      <protection locked="0"/>
    </xf>
    <xf numFmtId="165" fontId="9" fillId="0" borderId="0" xfId="3" applyNumberFormat="1" applyFont="1" applyAlignment="1"/>
    <xf numFmtId="165" fontId="9" fillId="0" borderId="0" xfId="3" applyNumberFormat="1" applyFont="1" applyFill="1" applyAlignment="1"/>
    <xf numFmtId="165" fontId="9" fillId="3" borderId="0" xfId="1" applyNumberFormat="1" applyFont="1" applyFill="1" applyAlignment="1" applyProtection="1">
      <protection locked="0"/>
    </xf>
    <xf numFmtId="165" fontId="9" fillId="0" borderId="0" xfId="1" applyNumberFormat="1" applyFont="1" applyAlignment="1" applyProtection="1">
      <protection locked="0"/>
    </xf>
    <xf numFmtId="166" fontId="5" fillId="0" borderId="0" xfId="3" applyFont="1" applyBorder="1" applyAlignment="1"/>
    <xf numFmtId="0" fontId="0" fillId="0" borderId="0" xfId="0" applyBorder="1"/>
    <xf numFmtId="17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protection locked="0"/>
    </xf>
    <xf numFmtId="165" fontId="9" fillId="0" borderId="0" xfId="3" applyNumberFormat="1" applyFont="1" applyFill="1" applyBorder="1" applyAlignment="1"/>
    <xf numFmtId="165" fontId="5" fillId="0" borderId="7" xfId="1" applyNumberFormat="1" applyFont="1" applyFill="1" applyBorder="1" applyAlignment="1"/>
    <xf numFmtId="167" fontId="5" fillId="0" borderId="0" xfId="1" applyNumberFormat="1" applyFont="1" applyFill="1" applyAlignment="1" applyProtection="1">
      <protection locked="0"/>
    </xf>
    <xf numFmtId="167" fontId="5" fillId="0" borderId="0" xfId="1" applyNumberFormat="1" applyFont="1" applyFill="1"/>
    <xf numFmtId="165" fontId="9" fillId="4" borderId="0" xfId="3" applyNumberFormat="1" applyFont="1" applyFill="1" applyAlignment="1"/>
    <xf numFmtId="165" fontId="9" fillId="4" borderId="0" xfId="1" applyNumberFormat="1" applyFont="1" applyFill="1" applyAlignment="1"/>
    <xf numFmtId="165" fontId="9" fillId="4" borderId="0" xfId="1" applyNumberFormat="1" applyFont="1" applyFill="1" applyBorder="1" applyAlignment="1"/>
    <xf numFmtId="165" fontId="9" fillId="4" borderId="7" xfId="1" applyNumberFormat="1" applyFont="1" applyFill="1" applyBorder="1" applyAlignment="1"/>
    <xf numFmtId="165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5" fillId="0" borderId="0" xfId="1" applyNumberFormat="1" applyFont="1" applyFill="1" applyAlignment="1"/>
    <xf numFmtId="167" fontId="5" fillId="0" borderId="0" xfId="0" applyNumberFormat="1" applyFont="1" applyFill="1"/>
    <xf numFmtId="165" fontId="5" fillId="5" borderId="0" xfId="3" applyNumberFormat="1" applyFont="1" applyFill="1" applyAlignment="1"/>
    <xf numFmtId="165" fontId="5" fillId="5" borderId="0" xfId="3" applyNumberFormat="1" applyFont="1" applyFill="1" applyAlignment="1" applyProtection="1">
      <protection locked="0"/>
    </xf>
    <xf numFmtId="165" fontId="9" fillId="5" borderId="0" xfId="3" applyNumberFormat="1" applyFont="1" applyFill="1" applyAlignment="1"/>
    <xf numFmtId="165" fontId="9" fillId="5" borderId="0" xfId="3" applyNumberFormat="1" applyFont="1" applyFill="1" applyProtection="1">
      <protection locked="0"/>
    </xf>
    <xf numFmtId="165" fontId="5" fillId="5" borderId="7" xfId="3" applyNumberFormat="1" applyFont="1" applyFill="1" applyBorder="1" applyAlignment="1"/>
    <xf numFmtId="165" fontId="5" fillId="5" borderId="7" xfId="1" applyNumberFormat="1" applyFont="1" applyFill="1" applyBorder="1" applyAlignment="1" applyProtection="1">
      <protection locked="0"/>
    </xf>
    <xf numFmtId="165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66" fontId="2" fillId="0" borderId="0" xfId="3" applyFont="1" applyAlignment="1">
      <alignment horizontal="center"/>
    </xf>
    <xf numFmtId="169" fontId="9" fillId="5" borderId="0" xfId="1" applyNumberFormat="1" applyFont="1" applyFill="1" applyAlignment="1" applyProtection="1">
      <protection locked="0"/>
    </xf>
    <xf numFmtId="10" fontId="5" fillId="0" borderId="0" xfId="4" applyNumberFormat="1" applyFont="1" applyAlignment="1" applyProtection="1">
      <protection locked="0"/>
    </xf>
    <xf numFmtId="10" fontId="5" fillId="0" borderId="0" xfId="4" applyNumberFormat="1" applyFont="1" applyFill="1"/>
    <xf numFmtId="165" fontId="9" fillId="0" borderId="0" xfId="1" applyNumberFormat="1" applyFont="1" applyFill="1" applyAlignment="1"/>
    <xf numFmtId="167" fontId="9" fillId="0" borderId="0" xfId="1" applyNumberFormat="1" applyFont="1" applyFill="1" applyAlignment="1" applyProtection="1">
      <protection locked="0"/>
    </xf>
    <xf numFmtId="5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AC986"/>
  <sheetViews>
    <sheetView tabSelected="1" topLeftCell="A9" zoomScale="85" zoomScaleNormal="85" workbookViewId="0">
      <selection activeCell="I44" sqref="I44"/>
    </sheetView>
  </sheetViews>
  <sheetFormatPr defaultColWidth="11.42578125" defaultRowHeight="15"/>
  <cols>
    <col min="1" max="1" width="4.140625" style="1" customWidth="1"/>
    <col min="2" max="2" width="5.85546875" style="26" bestFit="1" customWidth="1"/>
    <col min="3" max="3" width="2" style="1" customWidth="1"/>
    <col min="4" max="4" width="62.5703125" style="1" customWidth="1"/>
    <col min="5" max="5" width="18.85546875" style="1" customWidth="1"/>
    <col min="6" max="6" width="8.5703125" style="1" customWidth="1"/>
    <col min="7" max="7" width="18.5703125" style="1" customWidth="1"/>
    <col min="8" max="8" width="4.42578125" style="1" customWidth="1"/>
    <col min="9" max="9" width="20.85546875" style="1" customWidth="1"/>
    <col min="10" max="10" width="3.140625" style="1" customWidth="1"/>
    <col min="11" max="11" width="18.42578125" style="1" bestFit="1" customWidth="1"/>
    <col min="12" max="12" width="3.42578125" style="1" customWidth="1"/>
    <col min="13" max="13" width="16" style="1" bestFit="1" customWidth="1"/>
    <col min="14" max="14" width="3.85546875" style="1" customWidth="1"/>
    <col min="15" max="15" width="16.5703125" style="1" bestFit="1" customWidth="1"/>
    <col min="16" max="16" width="4.85546875" style="1" customWidth="1"/>
    <col min="17" max="17" width="15.85546875" style="1" bestFit="1" customWidth="1"/>
    <col min="18" max="18" width="4.140625" style="1" customWidth="1"/>
    <col min="19" max="19" width="16.5703125" style="1" bestFit="1" customWidth="1"/>
    <col min="20" max="20" width="3.42578125" style="1" customWidth="1"/>
    <col min="21" max="21" width="16.5703125" style="1" customWidth="1"/>
    <col min="22" max="23" width="11.42578125" style="1" customWidth="1"/>
    <col min="24" max="24" width="11.140625" style="1" bestFit="1" customWidth="1"/>
    <col min="25" max="25" width="9.85546875" style="1" bestFit="1" customWidth="1"/>
    <col min="26" max="26" width="10.5703125" style="1" bestFit="1" customWidth="1"/>
    <col min="27" max="27" width="10.85546875" style="1" bestFit="1" customWidth="1"/>
    <col min="28" max="28" width="10.42578125" style="1" bestFit="1" customWidth="1"/>
    <col min="29" max="16384" width="11.42578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2024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27" t="s">
        <v>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2">
      <c r="A4" s="128" t="s">
        <v>63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2">
      <c r="A5" s="127" t="str">
        <f>"For rates effective January 1, 2024"</f>
        <v>For rates effective January 1, 2024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5.75">
      <c r="A8" s="129" t="s">
        <v>41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1330026071.1621084</v>
      </c>
      <c r="J15" s="20"/>
      <c r="K15" s="101">
        <v>528866071.91909486</v>
      </c>
      <c r="L15" s="85"/>
      <c r="M15" s="84">
        <v>213878314.48301473</v>
      </c>
      <c r="N15" s="86"/>
      <c r="O15" s="84">
        <v>94527053.690176606</v>
      </c>
      <c r="P15" s="86"/>
      <c r="Q15" s="84">
        <v>8320652.5449483693</v>
      </c>
      <c r="R15" s="86"/>
      <c r="S15" s="84">
        <v>467758949.14008033</v>
      </c>
      <c r="T15" s="86"/>
      <c r="U15" s="84">
        <v>16675029.384793425</v>
      </c>
    </row>
    <row r="16" spans="1:22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6"/>
      <c r="L16" s="85"/>
      <c r="M16" s="86"/>
      <c r="N16" s="86"/>
      <c r="O16" s="86"/>
      <c r="P16" s="86"/>
      <c r="Q16" s="86"/>
      <c r="R16" s="86"/>
      <c r="S16" s="87"/>
      <c r="T16" s="86"/>
      <c r="U16" s="86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33462633.921508182</v>
      </c>
      <c r="J17" s="20"/>
      <c r="K17" s="84">
        <v>7762202.9773377925</v>
      </c>
      <c r="L17" s="85"/>
      <c r="M17" s="84">
        <v>7405741.817584387</v>
      </c>
      <c r="N17" s="86"/>
      <c r="O17" s="84">
        <v>584494.84190223506</v>
      </c>
      <c r="P17" s="86"/>
      <c r="Q17" s="84">
        <v>184765.83912304364</v>
      </c>
      <c r="R17" s="86"/>
      <c r="S17" s="84">
        <v>14486305.919459464</v>
      </c>
      <c r="T17" s="86"/>
      <c r="U17" s="84">
        <v>3039122.5261012567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5" t="s">
        <v>9</v>
      </c>
      <c r="E19" s="126"/>
      <c r="F19" s="21"/>
      <c r="G19" s="8" t="s">
        <v>47</v>
      </c>
      <c r="H19" s="4"/>
      <c r="I19" s="19">
        <f>SUM(K19,M19,O19,Q19,S19,U19)</f>
        <v>1296563437.2406001</v>
      </c>
      <c r="J19" s="22"/>
      <c r="K19" s="22">
        <f>+K15-K17</f>
        <v>521103868.94175708</v>
      </c>
      <c r="L19" s="22"/>
      <c r="M19" s="22">
        <f>+M15-M17</f>
        <v>206472572.66543034</v>
      </c>
      <c r="N19" s="19"/>
      <c r="O19" s="22">
        <f>+O15-O17</f>
        <v>93942558.848274365</v>
      </c>
      <c r="P19" s="19"/>
      <c r="Q19" s="22">
        <f>+Q15-Q17</f>
        <v>8135886.705825326</v>
      </c>
      <c r="R19" s="19"/>
      <c r="S19" s="72">
        <f>+S15-S17</f>
        <v>453272643.22062087</v>
      </c>
      <c r="T19" s="19"/>
      <c r="U19" s="22">
        <f>+U15-U17</f>
        <v>13635906.858692169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0">
        <f>SUM(K22,M22,O22,Q22,S22,U22)</f>
        <v>46126664.189607754</v>
      </c>
      <c r="J22" s="111"/>
      <c r="K22" s="112">
        <v>28118028.103649396</v>
      </c>
      <c r="L22" s="113"/>
      <c r="M22" s="112">
        <v>8503771.6334173065</v>
      </c>
      <c r="N22" s="112"/>
      <c r="O22" s="112">
        <v>0</v>
      </c>
      <c r="P22" s="112"/>
      <c r="Q22" s="112">
        <v>0</v>
      </c>
      <c r="R22" s="112"/>
      <c r="S22" s="112">
        <v>9385627.6812635344</v>
      </c>
      <c r="T22" s="112"/>
      <c r="U22" s="112">
        <v>119236.77127751833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4">
        <f>SUM(K23,M23,O23,Q23,S23,U23)</f>
        <v>0</v>
      </c>
      <c r="J23" s="111"/>
      <c r="K23" s="115">
        <v>0</v>
      </c>
      <c r="L23" s="116"/>
      <c r="M23" s="115">
        <v>0</v>
      </c>
      <c r="N23" s="110"/>
      <c r="O23" s="115">
        <v>0</v>
      </c>
      <c r="P23" s="110"/>
      <c r="Q23" s="115">
        <v>0</v>
      </c>
      <c r="R23" s="110"/>
      <c r="S23" s="115">
        <v>0</v>
      </c>
      <c r="T23" s="110"/>
      <c r="U23" s="115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6">
        <f>+I23+I22</f>
        <v>46126664.189607754</v>
      </c>
      <c r="J24" s="111"/>
      <c r="K24" s="116">
        <f>+K23+K22</f>
        <v>28118028.103649396</v>
      </c>
      <c r="L24" s="116"/>
      <c r="M24" s="116">
        <f>+M23+M22</f>
        <v>8503771.6334173065</v>
      </c>
      <c r="N24" s="110"/>
      <c r="O24" s="116">
        <f>+O23+O22</f>
        <v>0</v>
      </c>
      <c r="P24" s="110"/>
      <c r="Q24" s="116">
        <f>+Q23+Q22</f>
        <v>0</v>
      </c>
      <c r="R24" s="110"/>
      <c r="S24" s="116">
        <f>+S23+S22</f>
        <v>9385627.6812635344</v>
      </c>
      <c r="T24" s="110"/>
      <c r="U24" s="116">
        <f>+U23+U22</f>
        <v>119236.77127751833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1250436773.0509925</v>
      </c>
      <c r="J26" s="22"/>
      <c r="K26" s="77">
        <f>+K19-K24</f>
        <v>492985840.83810771</v>
      </c>
      <c r="L26" s="77"/>
      <c r="M26" s="77">
        <f>+M19-M24</f>
        <v>197968801.03201303</v>
      </c>
      <c r="N26" s="19"/>
      <c r="O26" s="77">
        <f>+O19-O24</f>
        <v>93942558.848274365</v>
      </c>
      <c r="P26" s="19"/>
      <c r="Q26" s="77">
        <f>+Q19-Q24</f>
        <v>8135886.705825326</v>
      </c>
      <c r="R26" s="19"/>
      <c r="S26" s="78">
        <f>+S19-S24</f>
        <v>443887015.53935736</v>
      </c>
      <c r="T26" s="19"/>
      <c r="U26" s="77">
        <f>+U19-U24</f>
        <v>13516670.08741465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8">
        <v>0</v>
      </c>
      <c r="L28" s="89"/>
      <c r="M28" s="88">
        <v>0</v>
      </c>
      <c r="N28" s="86"/>
      <c r="O28" s="88">
        <v>0</v>
      </c>
      <c r="P28" s="86"/>
      <c r="Q28" s="88">
        <v>0</v>
      </c>
      <c r="R28" s="86"/>
      <c r="S28" s="88">
        <v>0</v>
      </c>
      <c r="T28" s="86"/>
      <c r="U28" s="88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1250436773.0509925</v>
      </c>
      <c r="J30" s="22"/>
      <c r="K30" s="77">
        <f>+K26+K28</f>
        <v>492985840.83810771</v>
      </c>
      <c r="L30" s="77"/>
      <c r="M30" s="78">
        <f>+M26+M28</f>
        <v>197968801.03201303</v>
      </c>
      <c r="N30" s="19"/>
      <c r="O30" s="77">
        <f>+O26+O28</f>
        <v>93942558.848274365</v>
      </c>
      <c r="P30" s="19"/>
      <c r="Q30" s="77">
        <f>+Q26+Q28</f>
        <v>8135886.705825326</v>
      </c>
      <c r="R30" s="19"/>
      <c r="S30" s="78">
        <f>+S26+S28</f>
        <v>443887015.53935736</v>
      </c>
      <c r="T30" s="19"/>
      <c r="U30" s="77">
        <f>+U26+U28</f>
        <v>13516670.08741465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(2023) ACTUAL ATRR</v>
      </c>
      <c r="E32" s="6"/>
      <c r="F32" s="21"/>
      <c r="G32" s="25" t="str">
        <f>"Input from "&amp;V1-1&amp;" True-up"</f>
        <v>Input from 2023 True-up</v>
      </c>
      <c r="H32" s="4"/>
      <c r="I32" s="82">
        <f>SUM(K32,M32,O32,Q32,S32,U32)</f>
        <v>0</v>
      </c>
      <c r="J32" s="22"/>
      <c r="K32" s="88">
        <v>0</v>
      </c>
      <c r="L32" s="89"/>
      <c r="M32" s="88">
        <v>0</v>
      </c>
      <c r="N32" s="86"/>
      <c r="O32" s="88">
        <v>0</v>
      </c>
      <c r="P32" s="86"/>
      <c r="Q32" s="88">
        <v>0</v>
      </c>
      <c r="R32" s="86"/>
      <c r="S32" s="88">
        <v>0</v>
      </c>
      <c r="T32" s="86"/>
      <c r="U32" s="88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(2023) ATRR FROM PRIOR YEAR</v>
      </c>
      <c r="E33" s="6"/>
      <c r="F33" s="21"/>
      <c r="G33" s="25" t="s">
        <v>16</v>
      </c>
      <c r="H33" s="4"/>
      <c r="I33" s="98">
        <f>SUM(K33,M33,O33,Q33,S33,U33)</f>
        <v>0</v>
      </c>
      <c r="J33" s="22"/>
      <c r="K33" s="105">
        <v>0</v>
      </c>
      <c r="L33" s="89"/>
      <c r="M33" s="105">
        <v>0</v>
      </c>
      <c r="N33" s="86"/>
      <c r="O33" s="105">
        <v>0</v>
      </c>
      <c r="P33" s="86"/>
      <c r="Q33" s="105">
        <v>0</v>
      </c>
      <c r="R33" s="86"/>
      <c r="S33" s="105">
        <v>0</v>
      </c>
      <c r="T33" s="86"/>
      <c r="U33" s="105">
        <v>0</v>
      </c>
      <c r="V33" s="90"/>
      <c r="W33" s="90"/>
      <c r="X33" s="90"/>
      <c r="Y33" s="90"/>
      <c r="Z33" s="90"/>
      <c r="AA33" s="90"/>
      <c r="AB33" s="90"/>
      <c r="AC33" s="90"/>
    </row>
    <row r="34" spans="1:29">
      <c r="B34" s="7">
        <f>+B30+1</f>
        <v>11</v>
      </c>
      <c r="C34" s="8"/>
      <c r="D34" s="18" t="s">
        <v>64</v>
      </c>
      <c r="E34" s="6"/>
      <c r="F34" s="21"/>
      <c r="G34" s="21" t="s">
        <v>54</v>
      </c>
      <c r="H34" s="4"/>
      <c r="I34" s="19">
        <f>SUM(K34,M34,O34,Q34,S34,U34)</f>
        <v>27103722.071108952</v>
      </c>
      <c r="J34" s="108"/>
      <c r="K34" s="108">
        <v>2144321.2126320335</v>
      </c>
      <c r="L34" s="108"/>
      <c r="M34" s="108">
        <v>7127301.9528713273</v>
      </c>
      <c r="N34" s="108"/>
      <c r="O34" s="108">
        <v>-3307682.3580298689</v>
      </c>
      <c r="P34" s="108"/>
      <c r="Q34" s="108">
        <v>294647.59012273583</v>
      </c>
      <c r="R34" s="108"/>
      <c r="S34" s="108">
        <v>20363896.659231056</v>
      </c>
      <c r="T34" s="108"/>
      <c r="U34" s="108">
        <v>481237.01428166608</v>
      </c>
      <c r="V34" s="90"/>
      <c r="W34" s="90"/>
      <c r="X34" s="90"/>
      <c r="Y34" s="90"/>
      <c r="Z34" s="90"/>
      <c r="AA34" s="90"/>
      <c r="AB34" s="90"/>
      <c r="AC34" s="90"/>
    </row>
    <row r="35" spans="1:29">
      <c r="B35" s="7"/>
      <c r="C35" s="8"/>
      <c r="D35" s="18"/>
      <c r="E35" s="6"/>
      <c r="F35" s="21"/>
      <c r="G35" s="21"/>
      <c r="H35" s="4"/>
      <c r="I35" s="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90"/>
      <c r="W35" s="90"/>
      <c r="X35" s="90"/>
      <c r="Y35" s="90"/>
      <c r="Z35" s="90"/>
      <c r="AA35" s="90"/>
      <c r="AB35" s="90"/>
      <c r="AC35" s="90"/>
    </row>
    <row r="36" spans="1:29">
      <c r="B36" s="118" t="s">
        <v>57</v>
      </c>
      <c r="D36" s="18" t="s">
        <v>58</v>
      </c>
      <c r="E36" s="6"/>
      <c r="F36" s="21"/>
      <c r="G36" s="25" t="s">
        <v>59</v>
      </c>
      <c r="H36" s="4"/>
      <c r="I36" s="19">
        <f>SUM(K36,M36,O36,Q36,S36,U36)</f>
        <v>9714282</v>
      </c>
      <c r="J36" s="22"/>
      <c r="K36" s="77"/>
      <c r="L36" s="77"/>
      <c r="M36" s="78">
        <v>0</v>
      </c>
      <c r="N36" s="19"/>
      <c r="O36" s="77"/>
      <c r="P36" s="19"/>
      <c r="Q36" s="77"/>
      <c r="R36" s="19"/>
      <c r="S36" s="78">
        <v>9714282</v>
      </c>
      <c r="T36" s="19"/>
      <c r="U36" s="77"/>
      <c r="V36" s="90"/>
      <c r="W36" s="90"/>
      <c r="X36" s="90"/>
      <c r="Y36" s="90"/>
      <c r="Z36" s="90"/>
      <c r="AA36" s="90"/>
      <c r="AB36" s="90"/>
      <c r="AC36" s="90"/>
    </row>
    <row r="37" spans="1:29">
      <c r="B37" s="118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0"/>
      <c r="W37" s="90"/>
      <c r="X37" s="90"/>
      <c r="Y37" s="90"/>
      <c r="Z37" s="90"/>
      <c r="AA37" s="90"/>
      <c r="AB37" s="90"/>
      <c r="AC37" s="90"/>
    </row>
    <row r="38" spans="1:29">
      <c r="B38" s="118" t="s">
        <v>61</v>
      </c>
      <c r="D38" s="18" t="s">
        <v>62</v>
      </c>
      <c r="E38" s="6"/>
      <c r="F38" s="21"/>
      <c r="G38" s="25"/>
      <c r="H38" s="4"/>
      <c r="I38" s="124">
        <f>SUM(K38,M38,O38,Q38,S38,U38)</f>
        <v>-199997.07</v>
      </c>
      <c r="J38" s="22"/>
      <c r="K38" s="77"/>
      <c r="L38" s="77"/>
      <c r="M38" s="78"/>
      <c r="N38" s="19"/>
      <c r="O38" s="77"/>
      <c r="P38" s="19"/>
      <c r="Q38" s="77"/>
      <c r="R38" s="19"/>
      <c r="S38" s="78"/>
      <c r="T38" s="19"/>
      <c r="U38" s="124">
        <v>-199997.07</v>
      </c>
      <c r="V38" s="90"/>
      <c r="W38" s="90"/>
      <c r="X38" s="90"/>
      <c r="Y38" s="90"/>
      <c r="Z38" s="90"/>
      <c r="AA38" s="90"/>
      <c r="AB38" s="90"/>
      <c r="AC38" s="90"/>
    </row>
    <row r="39" spans="1:29" ht="15" customHeight="1" thickBot="1">
      <c r="B39" s="118"/>
      <c r="D39" s="18"/>
      <c r="E39" s="6"/>
      <c r="F39" s="21"/>
      <c r="G39" s="25"/>
      <c r="H39" s="4"/>
      <c r="I39" s="70"/>
      <c r="J39" s="22"/>
      <c r="K39" s="77"/>
      <c r="L39" s="77"/>
      <c r="M39" s="78"/>
      <c r="N39" s="19"/>
      <c r="O39" s="77"/>
      <c r="P39" s="19"/>
      <c r="Q39" s="77"/>
      <c r="R39" s="19"/>
      <c r="S39" s="78"/>
      <c r="T39" s="19"/>
      <c r="U39" s="77"/>
      <c r="V39" s="90"/>
      <c r="W39" s="90"/>
      <c r="X39" s="90"/>
      <c r="Y39" s="90"/>
      <c r="Z39" s="90"/>
      <c r="AA39" s="90"/>
      <c r="AB39" s="90"/>
      <c r="AC39" s="90"/>
    </row>
    <row r="40" spans="1:29" ht="16.5" thickBot="1">
      <c r="B40" s="7">
        <f>+B34+1</f>
        <v>12</v>
      </c>
      <c r="C40" s="8"/>
      <c r="D40" s="27" t="s">
        <v>55</v>
      </c>
      <c r="E40" s="28"/>
      <c r="F40" s="29"/>
      <c r="G40" s="106" t="str">
        <f>"(Ln "&amp;B30&amp;" + Ln "&amp;B34&amp;")"</f>
        <v>(Ln 10 + Ln 11)</v>
      </c>
      <c r="H40" s="31"/>
      <c r="I40" s="32">
        <f>+I30+I34+I36+I38</f>
        <v>1287054780.0521016</v>
      </c>
      <c r="J40" s="22"/>
      <c r="K40" s="32">
        <f>+K30+K34+K36+K38</f>
        <v>495130162.05073977</v>
      </c>
      <c r="L40" s="34"/>
      <c r="M40" s="32">
        <f>+M30+M34+M36+M38</f>
        <v>205096102.98488435</v>
      </c>
      <c r="N40" s="19"/>
      <c r="O40" s="32">
        <f>+O30+O34+O36+O38</f>
        <v>90634876.490244493</v>
      </c>
      <c r="P40" s="19"/>
      <c r="Q40" s="32">
        <f>+Q30+Q34+Q36+Q38</f>
        <v>8430534.2959480621</v>
      </c>
      <c r="R40" s="19"/>
      <c r="S40" s="32">
        <f>+S30+S34+S36+S38</f>
        <v>473965194.19858843</v>
      </c>
      <c r="T40" s="19"/>
      <c r="U40" s="32">
        <f>+U30+U34+U36+U38</f>
        <v>13797910.031696316</v>
      </c>
      <c r="V40" s="90"/>
      <c r="W40" s="92"/>
      <c r="X40" s="93"/>
      <c r="Y40" s="93"/>
      <c r="Z40" s="93"/>
      <c r="AA40" s="93"/>
      <c r="AB40" s="93"/>
      <c r="AC40" s="90"/>
    </row>
    <row r="41" spans="1:29">
      <c r="B41" s="7"/>
      <c r="C41" s="8"/>
      <c r="D41" s="18"/>
      <c r="E41" s="6"/>
      <c r="G41" s="21"/>
      <c r="H41" s="4"/>
      <c r="I41" s="34"/>
      <c r="J41" s="4"/>
      <c r="L41" s="34"/>
      <c r="N41" s="34"/>
      <c r="O41" s="90"/>
      <c r="P41" s="92"/>
      <c r="Q41" s="93"/>
      <c r="R41" s="93"/>
      <c r="S41" s="93"/>
      <c r="T41" s="93"/>
      <c r="U41" s="93"/>
      <c r="V41" s="90"/>
    </row>
    <row r="42" spans="1:29" ht="15.75">
      <c r="A42" s="12" t="s">
        <v>18</v>
      </c>
      <c r="B42" s="17" t="s">
        <v>19</v>
      </c>
      <c r="C42" s="15"/>
      <c r="D42" s="6"/>
      <c r="E42" s="107" t="s">
        <v>12</v>
      </c>
      <c r="F42" s="6"/>
      <c r="G42" s="6"/>
      <c r="H42" s="6"/>
      <c r="I42" s="34"/>
      <c r="J42" s="6"/>
      <c r="K42" s="97"/>
      <c r="L42" s="96"/>
      <c r="M42" s="97"/>
      <c r="N42" s="96"/>
      <c r="O42" s="90"/>
      <c r="P42" s="92"/>
      <c r="Q42" s="93"/>
      <c r="R42" s="93"/>
      <c r="S42" s="93"/>
      <c r="T42" s="93"/>
      <c r="U42" s="93"/>
      <c r="V42" s="90"/>
    </row>
    <row r="43" spans="1:29">
      <c r="B43" s="7">
        <f>+B40+1</f>
        <v>13</v>
      </c>
      <c r="C43" s="8"/>
      <c r="D43" s="35" t="str">
        <f>""&amp;V1&amp;" AEP East Zone Network Service Peak Load (1 CP)"</f>
        <v>2024 AEP East Zone Network Service Peak Load (1 CP)</v>
      </c>
      <c r="E43" s="6"/>
      <c r="F43" s="21"/>
      <c r="G43" s="25"/>
      <c r="H43" s="4"/>
      <c r="I43" s="119">
        <v>22825.599999999999</v>
      </c>
      <c r="J43" s="4" t="s">
        <v>20</v>
      </c>
      <c r="L43" s="22"/>
      <c r="N43" s="22"/>
      <c r="O43" s="90"/>
      <c r="P43" s="92"/>
      <c r="Q43" s="93"/>
      <c r="R43" s="93"/>
      <c r="S43" s="93"/>
      <c r="T43" s="93"/>
      <c r="U43" s="93"/>
      <c r="V43" s="90"/>
    </row>
    <row r="44" spans="1:29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1"/>
      <c r="P44" s="92"/>
      <c r="Q44" s="93"/>
      <c r="R44" s="93"/>
      <c r="S44" s="93"/>
      <c r="T44" s="93"/>
      <c r="U44" s="93"/>
      <c r="V44" s="90"/>
    </row>
    <row r="45" spans="1:29">
      <c r="A45" s="36"/>
      <c r="B45" s="41">
        <f>+B43+1</f>
        <v>14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12 / Ln 13)</v>
      </c>
      <c r="H45" s="42"/>
      <c r="I45" s="69">
        <f>ROUND(+I40/I43,4)</f>
        <v>56386.459900000002</v>
      </c>
      <c r="J45" s="42"/>
      <c r="K45"/>
      <c r="L45"/>
      <c r="M45"/>
      <c r="N45"/>
      <c r="O45" s="91"/>
      <c r="P45" s="92"/>
      <c r="Q45" s="93"/>
      <c r="R45" s="93"/>
      <c r="S45" s="93"/>
      <c r="T45" s="93"/>
      <c r="U45" s="93"/>
      <c r="V45" s="90"/>
    </row>
    <row r="46" spans="1:29">
      <c r="A46" s="36"/>
      <c r="B46" s="41">
        <f t="shared" ref="B46:B51" si="0">+B45+1</f>
        <v>15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14 / 12)</v>
      </c>
      <c r="H46" s="42"/>
      <c r="I46" s="69">
        <f>ROUND(+I$45/12,4)</f>
        <v>4698.8716999999997</v>
      </c>
      <c r="J46" s="42"/>
      <c r="K46"/>
      <c r="L46"/>
      <c r="M46"/>
      <c r="N46"/>
      <c r="O46" s="91"/>
      <c r="P46" s="92"/>
      <c r="Q46" s="93"/>
      <c r="R46" s="93"/>
      <c r="S46" s="93"/>
      <c r="T46" s="93"/>
      <c r="U46" s="93"/>
      <c r="V46" s="90"/>
    </row>
    <row r="47" spans="1:29">
      <c r="A47" s="36"/>
      <c r="B47" s="41">
        <f t="shared" si="0"/>
        <v>16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14 / 52)</v>
      </c>
      <c r="H47" s="38"/>
      <c r="I47" s="69">
        <f>ROUND(+I45/52,4)</f>
        <v>1084.355</v>
      </c>
      <c r="J47" s="38"/>
      <c r="K47"/>
      <c r="L47"/>
      <c r="M47"/>
      <c r="N47"/>
      <c r="O47" s="91"/>
      <c r="P47" s="92"/>
      <c r="Q47" s="93"/>
      <c r="R47" s="93"/>
      <c r="S47" s="93"/>
      <c r="T47" s="93"/>
      <c r="U47" s="93"/>
      <c r="V47" s="90"/>
    </row>
    <row r="48" spans="1:29">
      <c r="B48" s="41">
        <f t="shared" si="0"/>
        <v>17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14 / 260)</v>
      </c>
      <c r="H48" s="42"/>
      <c r="I48" s="69">
        <f>ROUND(+I45/260,4)</f>
        <v>216.87100000000001</v>
      </c>
      <c r="J48" s="42"/>
      <c r="K48"/>
      <c r="L48"/>
      <c r="M48"/>
      <c r="N48"/>
      <c r="O48" s="91"/>
      <c r="P48" s="92"/>
      <c r="Q48" s="93"/>
      <c r="R48" s="93"/>
      <c r="S48" s="93"/>
      <c r="T48" s="93"/>
      <c r="U48" s="93"/>
      <c r="V48" s="90"/>
    </row>
    <row r="49" spans="1:29">
      <c r="B49" s="41">
        <f t="shared" si="0"/>
        <v>18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14 / 365)</v>
      </c>
      <c r="H49" s="42"/>
      <c r="I49" s="69">
        <f>ROUND(+I45/365,4)</f>
        <v>154.48349999999999</v>
      </c>
      <c r="J49" s="42"/>
      <c r="K49"/>
      <c r="L49"/>
      <c r="M49"/>
      <c r="N49"/>
      <c r="O49" s="91"/>
      <c r="P49" s="92"/>
      <c r="Q49" s="93"/>
      <c r="R49" s="93"/>
      <c r="S49" s="93"/>
      <c r="T49" s="93"/>
      <c r="U49" s="93"/>
      <c r="V49" s="90"/>
    </row>
    <row r="50" spans="1:29">
      <c r="B50" s="41">
        <f t="shared" si="0"/>
        <v>19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14 / 4160)</v>
      </c>
      <c r="H50" s="42"/>
      <c r="I50" s="69">
        <f>ROUND(+I45/4160,4)</f>
        <v>13.554399999999999</v>
      </c>
      <c r="J50" s="42"/>
      <c r="K50"/>
      <c r="L50"/>
      <c r="M50"/>
      <c r="N50"/>
      <c r="O50" s="91"/>
      <c r="P50" s="92"/>
      <c r="Q50" s="93"/>
      <c r="R50" s="93"/>
      <c r="S50" s="93"/>
      <c r="T50" s="93"/>
      <c r="U50" s="93"/>
      <c r="V50" s="90"/>
    </row>
    <row r="51" spans="1:29">
      <c r="B51" s="41">
        <f t="shared" si="0"/>
        <v>20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14 / 8760)</v>
      </c>
      <c r="H51" s="42"/>
      <c r="I51" s="69">
        <f>ROUND(+I45/8760,4)</f>
        <v>6.4367999999999999</v>
      </c>
      <c r="J51" s="42"/>
      <c r="K51"/>
      <c r="L51"/>
      <c r="M51"/>
      <c r="N51"/>
      <c r="O51" s="91"/>
      <c r="P51" s="92"/>
      <c r="Q51" s="93"/>
      <c r="R51" s="93"/>
      <c r="S51" s="93"/>
      <c r="T51" s="93"/>
      <c r="U51" s="93"/>
      <c r="V51" s="90"/>
    </row>
    <row r="52" spans="1:29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1"/>
      <c r="W52" s="94"/>
      <c r="X52" s="95"/>
      <c r="Y52" s="95"/>
      <c r="Z52" s="95"/>
      <c r="AA52" s="95"/>
      <c r="AB52" s="95"/>
      <c r="AC52" s="90"/>
    </row>
    <row r="53" spans="1:29" ht="15.75">
      <c r="A53" s="12" t="s">
        <v>21</v>
      </c>
      <c r="B53" s="17" t="s">
        <v>33</v>
      </c>
      <c r="C53" s="15"/>
      <c r="D53" s="6"/>
      <c r="E53" s="15"/>
      <c r="F53" s="6"/>
      <c r="G53" s="8"/>
      <c r="H53" s="6"/>
      <c r="J53" s="6"/>
      <c r="L53" s="6"/>
      <c r="V53" s="90"/>
      <c r="W53" s="90"/>
      <c r="X53" s="90"/>
      <c r="Y53" s="90"/>
      <c r="Z53" s="90"/>
      <c r="AA53" s="90"/>
      <c r="AB53" s="90"/>
      <c r="AC53" s="90"/>
    </row>
    <row r="54" spans="1:29">
      <c r="B54" s="45">
        <f>+B51+1</f>
        <v>21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46126664.189607754</v>
      </c>
      <c r="J54" s="42"/>
      <c r="K54" s="47">
        <f>K24</f>
        <v>28118028.103649396</v>
      </c>
      <c r="L54" s="42"/>
      <c r="M54" s="47">
        <f>M24</f>
        <v>8503771.6334173065</v>
      </c>
      <c r="N54" s="40"/>
      <c r="O54" s="47">
        <f>O24</f>
        <v>0</v>
      </c>
      <c r="P54" s="40"/>
      <c r="Q54" s="47">
        <f>Q24</f>
        <v>0</v>
      </c>
      <c r="R54" s="40"/>
      <c r="S54" s="47">
        <f>S24</f>
        <v>9385627.6812635344</v>
      </c>
      <c r="T54" s="40"/>
      <c r="U54" s="47">
        <f>U24</f>
        <v>119236.77127751833</v>
      </c>
      <c r="Y54"/>
      <c r="AA54"/>
    </row>
    <row r="55" spans="1:29">
      <c r="B55" s="45">
        <f>+B54+1</f>
        <v>22</v>
      </c>
      <c r="C55" s="42"/>
      <c r="D55" s="1" t="s">
        <v>37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1:29" ht="15.75" thickBot="1">
      <c r="B56" s="45">
        <f>+B55+1</f>
        <v>23</v>
      </c>
      <c r="C56" s="42"/>
      <c r="D56" s="1" t="s">
        <v>48</v>
      </c>
      <c r="G56" s="21" t="s">
        <v>54</v>
      </c>
      <c r="H56" s="42"/>
      <c r="I56" s="46">
        <f>SUM(K56,M56,O56,Q56,S56,U56)</f>
        <v>2648841.2928028344</v>
      </c>
      <c r="J56" s="38"/>
      <c r="K56" s="99">
        <v>1544472.4206093932</v>
      </c>
      <c r="L56" s="109"/>
      <c r="M56" s="100">
        <v>441692.55724387709</v>
      </c>
      <c r="N56" s="46"/>
      <c r="O56" s="100">
        <v>0</v>
      </c>
      <c r="P56" s="46"/>
      <c r="Q56" s="100">
        <v>0</v>
      </c>
      <c r="R56" s="46"/>
      <c r="S56" s="100">
        <v>666959.1984343332</v>
      </c>
      <c r="T56" s="46"/>
      <c r="U56" s="100">
        <v>-4282.883484769095</v>
      </c>
    </row>
    <row r="57" spans="1:29" ht="16.5" thickBot="1">
      <c r="B57" s="45">
        <f>+B56+1</f>
        <v>24</v>
      </c>
      <c r="C57" s="42"/>
      <c r="D57" s="67" t="s">
        <v>56</v>
      </c>
      <c r="E57" s="29"/>
      <c r="F57" s="29"/>
      <c r="G57" s="48"/>
      <c r="H57" s="48"/>
      <c r="I57" s="49">
        <f>+I54+I55+I56</f>
        <v>48775505.482410587</v>
      </c>
      <c r="J57" s="42"/>
      <c r="K57" s="50">
        <f>+K54+K55+K56</f>
        <v>29662500.524258789</v>
      </c>
      <c r="L57" s="42"/>
      <c r="M57" s="50">
        <f>+M54+M55+M56</f>
        <v>8945464.1906611845</v>
      </c>
      <c r="N57" s="40"/>
      <c r="O57" s="50">
        <f>+O54+O55+O56</f>
        <v>0</v>
      </c>
      <c r="P57" s="40"/>
      <c r="Q57" s="50">
        <f>+Q54+Q55+Q56</f>
        <v>0</v>
      </c>
      <c r="R57" s="40"/>
      <c r="S57" s="50">
        <f>+S54+S55+S56</f>
        <v>10052586.879697867</v>
      </c>
      <c r="T57" s="40"/>
      <c r="U57" s="50">
        <f>+U54+U55+U56</f>
        <v>114953.88779274924</v>
      </c>
    </row>
    <row r="58" spans="1:29">
      <c r="B58" s="51"/>
      <c r="C58" s="42"/>
      <c r="D58" s="42"/>
      <c r="E58" s="42"/>
      <c r="F58" s="42"/>
      <c r="G58" s="42"/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 t="s">
        <v>12</v>
      </c>
      <c r="E59" s="52" t="s">
        <v>12</v>
      </c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1"/>
      <c r="C60" s="42"/>
      <c r="D60" s="42" t="s">
        <v>52</v>
      </c>
      <c r="E60" s="52" t="s">
        <v>12</v>
      </c>
      <c r="F60" s="42"/>
      <c r="G60" s="42"/>
      <c r="H60" s="42"/>
      <c r="I60" s="53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1:29">
      <c r="B61" s="51"/>
      <c r="C61" s="42"/>
      <c r="D61" s="42"/>
      <c r="E61" s="42"/>
      <c r="F61" s="42"/>
      <c r="G61" s="54" t="s">
        <v>12</v>
      </c>
      <c r="H61" s="42"/>
      <c r="I61" s="40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1:29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56"/>
      <c r="N62" s="40"/>
      <c r="O62" s="56"/>
      <c r="P62" s="40"/>
      <c r="Q62" s="56"/>
      <c r="R62" s="40"/>
      <c r="S62" s="56"/>
      <c r="T62" s="40"/>
      <c r="U62" s="56"/>
    </row>
    <row r="63" spans="1:29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56"/>
      <c r="N63" s="40"/>
      <c r="O63" s="56"/>
      <c r="P63" s="40"/>
      <c r="Q63" s="56"/>
      <c r="R63" s="40"/>
      <c r="S63" s="56"/>
      <c r="T63" s="40"/>
      <c r="U63" s="56"/>
    </row>
    <row r="64" spans="1:29">
      <c r="B64" s="55"/>
      <c r="C64" s="56" t="s">
        <v>12</v>
      </c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5"/>
      <c r="C67" s="56"/>
      <c r="D67" s="56" t="s">
        <v>12</v>
      </c>
      <c r="E67" s="56"/>
      <c r="F67" s="56"/>
      <c r="G67" s="56"/>
      <c r="H67" s="56"/>
      <c r="I67" s="40"/>
      <c r="J67" s="56"/>
      <c r="K67" s="56"/>
      <c r="L67" s="56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5"/>
      <c r="C68" s="56"/>
      <c r="D68" s="56" t="s">
        <v>12</v>
      </c>
      <c r="E68" s="56"/>
      <c r="F68" s="56"/>
      <c r="G68" s="56"/>
      <c r="H68" s="56"/>
      <c r="I68" s="40"/>
      <c r="J68" s="56"/>
      <c r="K68" s="56"/>
      <c r="L68" s="56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 t="s">
        <v>60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>
      <c r="B128" s="5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>
      <c r="B985" s="58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>
      <c r="B986" s="58"/>
      <c r="C986" s="36"/>
      <c r="D986" s="36"/>
      <c r="E986" s="36"/>
      <c r="F986" s="36"/>
      <c r="G986" s="36"/>
      <c r="H986" s="36"/>
      <c r="J986" s="36"/>
      <c r="K986" s="36"/>
      <c r="L986" s="36"/>
    </row>
  </sheetData>
  <customSheetViews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41" right="0.23" top="1.75" bottom="0.33" header="1.25" footer="0.17"/>
  <pageSetup scale="50" orientation="landscape" r:id="rId3"/>
  <headerFooter alignWithMargins="0">
    <oddFooter>&amp;Z&amp;F&amp;RPage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967"/>
  <sheetViews>
    <sheetView zoomScale="75" zoomScaleNormal="75" workbookViewId="0">
      <selection activeCell="G42" sqref="G42"/>
    </sheetView>
  </sheetViews>
  <sheetFormatPr defaultColWidth="11.42578125" defaultRowHeight="15"/>
  <cols>
    <col min="1" max="1" width="4.85546875" style="1" customWidth="1"/>
    <col min="2" max="2" width="5.85546875" style="26" bestFit="1" customWidth="1"/>
    <col min="3" max="3" width="2" style="1" customWidth="1"/>
    <col min="4" max="4" width="71.140625" style="1" customWidth="1"/>
    <col min="5" max="5" width="23.140625" style="1" customWidth="1"/>
    <col min="6" max="6" width="2.5703125" style="1" customWidth="1"/>
    <col min="7" max="7" width="19.42578125" style="1" bestFit="1" customWidth="1"/>
    <col min="8" max="8" width="2.5703125" style="1" customWidth="1"/>
    <col min="9" max="9" width="17.85546875" style="1" customWidth="1"/>
    <col min="10" max="10" width="2.5703125" style="1" customWidth="1"/>
    <col min="11" max="11" width="17.85546875" style="1" customWidth="1"/>
    <col min="12" max="12" width="2.5703125" style="1" customWidth="1"/>
    <col min="13" max="13" width="17.85546875" style="1" customWidth="1"/>
    <col min="14" max="14" width="2.5703125" style="1" customWidth="1"/>
    <col min="15" max="15" width="17.85546875" style="1" customWidth="1"/>
    <col min="16" max="16" width="2.42578125" style="1" customWidth="1"/>
    <col min="17" max="17" width="17.85546875" style="1" customWidth="1"/>
    <col min="18" max="18" width="2.5703125" style="1" customWidth="1"/>
    <col min="19" max="19" width="17.85546875" style="1" customWidth="1"/>
    <col min="20" max="16384" width="11.42578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2024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27" t="s">
        <v>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1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21">
      <c r="A5" s="127" t="str">
        <f>"For rates effective January 1, 2024"</f>
        <v>For rates effective January 1, 2024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5"/>
      <c r="U5" s="5"/>
    </row>
    <row r="6" spans="1:21">
      <c r="B6" s="7"/>
      <c r="C6" s="8"/>
      <c r="D6" s="6"/>
      <c r="H6" s="6"/>
      <c r="I6" s="9"/>
      <c r="J6" s="9"/>
    </row>
    <row r="7" spans="1:21" ht="15.75">
      <c r="A7" s="129" t="s">
        <v>40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21" ht="15.75">
      <c r="A8" s="10"/>
      <c r="B8" s="7"/>
      <c r="C8" s="8"/>
      <c r="D8" s="6"/>
      <c r="H8" s="6"/>
      <c r="I8" s="6"/>
      <c r="J8" s="6"/>
    </row>
    <row r="9" spans="1:21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28644121.420287639</v>
      </c>
      <c r="H15" s="74"/>
      <c r="I15" s="34">
        <v>15729607.898989998</v>
      </c>
      <c r="J15" s="34"/>
      <c r="K15" s="34">
        <v>8476506.5712502804</v>
      </c>
      <c r="L15" s="19"/>
      <c r="M15" s="34">
        <v>2177193.7139449101</v>
      </c>
      <c r="N15" s="19"/>
      <c r="O15" s="34">
        <v>18209.906720449697</v>
      </c>
      <c r="P15" s="19"/>
      <c r="Q15" s="34">
        <v>680606.27002427808</v>
      </c>
      <c r="R15" s="19"/>
      <c r="S15" s="34">
        <v>1561997.05935772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18144767.905675225</v>
      </c>
      <c r="H16" s="74"/>
      <c r="I16" s="34">
        <v>9410664.1922369488</v>
      </c>
      <c r="J16" s="34"/>
      <c r="K16" s="34">
        <v>6006930.5867340891</v>
      </c>
      <c r="L16" s="19"/>
      <c r="M16" s="34">
        <v>1400744.43728405</v>
      </c>
      <c r="N16" s="19"/>
      <c r="O16" s="34">
        <v>-8.6794411287540077E-2</v>
      </c>
      <c r="P16" s="19"/>
      <c r="Q16" s="34">
        <v>143769.12909584015</v>
      </c>
      <c r="R16" s="19"/>
      <c r="S16" s="34">
        <v>1182659.6471187049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5152606.8768741712</v>
      </c>
      <c r="H17" s="74"/>
      <c r="I17" s="59">
        <v>2699093.7716291365</v>
      </c>
      <c r="J17" s="34"/>
      <c r="K17" s="59">
        <v>1749841.435160062</v>
      </c>
      <c r="L17" s="19"/>
      <c r="M17" s="59">
        <v>367280.1166116675</v>
      </c>
      <c r="N17" s="19"/>
      <c r="O17" s="59">
        <v>0</v>
      </c>
      <c r="P17" s="19"/>
      <c r="Q17" s="59">
        <v>0</v>
      </c>
      <c r="R17" s="19"/>
      <c r="S17" s="59">
        <v>336391.55347330496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5346746.6377382427</v>
      </c>
      <c r="H18" s="74"/>
      <c r="I18" s="34">
        <f>+I15-I16-I17</f>
        <v>3619849.9351239125</v>
      </c>
      <c r="J18" s="34"/>
      <c r="K18" s="75">
        <f>+K15-K16-K17</f>
        <v>719734.54935612925</v>
      </c>
      <c r="L18" s="19"/>
      <c r="M18" s="34">
        <f>+M15-M16-M17</f>
        <v>409169.16004919255</v>
      </c>
      <c r="N18" s="19"/>
      <c r="O18" s="34">
        <f>+O15-O16-O17</f>
        <v>18209.993514860984</v>
      </c>
      <c r="P18" s="19"/>
      <c r="Q18" s="75">
        <f>+Q15-Q16-Q17</f>
        <v>536837.14092843793</v>
      </c>
      <c r="R18" s="19"/>
      <c r="S18" s="34">
        <f>+S15-S16-S17</f>
        <v>42945.858765710145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75">
        <f>SUM(I20,K20,M20,O20,Q20,S20)</f>
        <v>657385.19100800029</v>
      </c>
      <c r="H20" s="72"/>
      <c r="I20" s="122">
        <v>445062.37199007301</v>
      </c>
      <c r="J20" s="78"/>
      <c r="K20" s="122">
        <v>88491.725204260409</v>
      </c>
      <c r="L20" s="71"/>
      <c r="M20" s="122">
        <v>50307.55423026831</v>
      </c>
      <c r="N20" s="71"/>
      <c r="O20" s="122">
        <v>2238.9278707407093</v>
      </c>
      <c r="P20" s="71"/>
      <c r="Q20" s="122">
        <v>66004.396755690628</v>
      </c>
      <c r="R20" s="71"/>
      <c r="S20" s="122">
        <v>5280.2149569670873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4689361.446730244</v>
      </c>
      <c r="H22" s="22"/>
      <c r="I22" s="70">
        <f>I18-I20</f>
        <v>3174787.5631338395</v>
      </c>
      <c r="J22" s="77"/>
      <c r="K22" s="82">
        <f>K18-K20</f>
        <v>631242.82415186882</v>
      </c>
      <c r="L22" s="19"/>
      <c r="M22" s="70">
        <f>M18-M20</f>
        <v>358861.60581892426</v>
      </c>
      <c r="N22" s="19"/>
      <c r="O22" s="70">
        <f>O18-O20</f>
        <v>15971.065644120274</v>
      </c>
      <c r="P22" s="19"/>
      <c r="Q22" s="82">
        <f>Q18-Q20</f>
        <v>470832.74417274731</v>
      </c>
      <c r="R22" s="19"/>
      <c r="S22" s="70">
        <f>S18-S20</f>
        <v>37665.643808743058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(2023) ACTUAL ARR</v>
      </c>
      <c r="E24" s="25" t="str">
        <f>"Input from "&amp;T1-1&amp;" True-up"</f>
        <v>Input from 2023 True-up</v>
      </c>
      <c r="F24" s="4"/>
      <c r="G24" s="34">
        <f>SUM(I24,K24,M24,O24,Q24,S24)</f>
        <v>12377334.913967999</v>
      </c>
      <c r="H24" s="22"/>
      <c r="I24" s="103">
        <v>3630078.292248812</v>
      </c>
      <c r="J24" s="78"/>
      <c r="K24" s="102">
        <v>1740854.9359083939</v>
      </c>
      <c r="L24" s="71"/>
      <c r="M24" s="102">
        <v>919771.66606059228</v>
      </c>
      <c r="N24" s="71"/>
      <c r="O24" s="102">
        <v>47517.719969749356</v>
      </c>
      <c r="P24" s="71"/>
      <c r="Q24" s="102">
        <v>5929029.0592957633</v>
      </c>
      <c r="R24" s="71"/>
      <c r="S24" s="102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(2023)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4">
        <v>3725428.0281458069</v>
      </c>
      <c r="J25" s="78"/>
      <c r="K25" s="104">
        <v>1783592.7880917941</v>
      </c>
      <c r="L25" s="71"/>
      <c r="M25" s="104">
        <v>942787.98680585565</v>
      </c>
      <c r="N25" s="71"/>
      <c r="O25" s="104">
        <v>48785.82489255166</v>
      </c>
      <c r="P25" s="71"/>
      <c r="Q25" s="104">
        <v>6098364.2202654323</v>
      </c>
      <c r="R25" s="71"/>
      <c r="S25" s="104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-827847.69373403431</v>
      </c>
      <c r="H26" s="22"/>
      <c r="I26" s="82">
        <v>100338.4956684677</v>
      </c>
      <c r="J26" s="77"/>
      <c r="K26" s="82">
        <v>-184663.47299973282</v>
      </c>
      <c r="L26" s="19"/>
      <c r="M26" s="82">
        <v>-54165.24486445712</v>
      </c>
      <c r="N26" s="19"/>
      <c r="O26" s="82">
        <v>3169.2443693031851</v>
      </c>
      <c r="P26" s="19"/>
      <c r="Q26" s="82">
        <v>-662272.07574068813</v>
      </c>
      <c r="R26" s="19"/>
      <c r="S26" s="82">
        <v>-30254.640166927114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3">
        <v>0</v>
      </c>
      <c r="J28" s="78"/>
      <c r="K28" s="102">
        <v>0</v>
      </c>
      <c r="L28" s="71"/>
      <c r="M28" s="102">
        <v>0</v>
      </c>
      <c r="N28" s="71"/>
      <c r="O28" s="102">
        <v>0</v>
      </c>
      <c r="P28" s="71"/>
      <c r="Q28" s="102">
        <v>0</v>
      </c>
      <c r="R28" s="71"/>
      <c r="S28" s="102">
        <v>0</v>
      </c>
    </row>
    <row r="29" spans="1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3861513.7529962091</v>
      </c>
      <c r="H30" s="74"/>
      <c r="I30" s="33">
        <f>+I22+I26+I28</f>
        <v>3275126.0588023071</v>
      </c>
      <c r="J30" s="34"/>
      <c r="K30" s="73">
        <f>+K22+K26+K28</f>
        <v>446579.35115213599</v>
      </c>
      <c r="L30" s="19"/>
      <c r="M30" s="33">
        <f>+M22+M26+M28</f>
        <v>304696.36095446715</v>
      </c>
      <c r="N30" s="19"/>
      <c r="O30" s="33">
        <f>+O22+O26+O28</f>
        <v>19140.310013423459</v>
      </c>
      <c r="P30" s="19"/>
      <c r="Q30" s="73">
        <f>+Q22+Q26+Q28</f>
        <v>-191439.33156794083</v>
      </c>
      <c r="R30" s="19"/>
      <c r="S30" s="33">
        <f>+S22+S26+S28</f>
        <v>7411.0036418159434</v>
      </c>
    </row>
    <row r="31" spans="1:19">
      <c r="B31" s="7"/>
      <c r="C31" s="8"/>
      <c r="D31" s="18"/>
      <c r="E31" s="6"/>
      <c r="F31" s="21"/>
    </row>
    <row r="32" spans="1:19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2024 AEP East Zone Annual MWh</v>
      </c>
      <c r="E33" s="8"/>
      <c r="F33" s="21"/>
      <c r="G33" s="123">
        <v>132670000</v>
      </c>
      <c r="H33" s="56" t="s">
        <v>43</v>
      </c>
      <c r="I33" s="36"/>
      <c r="J33" s="36"/>
      <c r="K33" s="36"/>
      <c r="L33" s="36"/>
      <c r="M33" s="36"/>
    </row>
    <row r="34" spans="1:20">
      <c r="B34" s="7"/>
      <c r="C34" s="8"/>
      <c r="D34" s="35"/>
      <c r="E34" s="6"/>
      <c r="F34" s="21"/>
      <c r="G34" s="6"/>
      <c r="H34" s="22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2.9106156274939392E-2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17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120"/>
      <c r="J39" s="120"/>
      <c r="K39" s="120"/>
      <c r="L39" s="121"/>
      <c r="M39" s="120"/>
      <c r="N39" s="121"/>
      <c r="O39" s="120"/>
      <c r="P39" s="121"/>
      <c r="Q39" s="120"/>
      <c r="R39" s="121"/>
      <c r="S39" s="12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Header>&amp;R&amp;18Schedule 1A  PTRR
Page 2 of 2</oddHeader>
    <oddFooter xml:space="preserve">&amp;C &amp;R </oddFooter>
  </headerFooter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czNjg5PC9Vc2VyTmFtZT48RGF0ZVRpbWU+MS8xOC8yMDIzIDY6MjI6NDY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F46BEFFE-AB69-49B9-8C74-CD04D1CB132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8441303-1AC8-4840-B347-E88950F8ED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Joshua P Baluch</cp:lastModifiedBy>
  <cp:lastPrinted>2019-10-31T17:38:08Z</cp:lastPrinted>
  <dcterms:created xsi:type="dcterms:W3CDTF">2008-07-20T22:34:28Z</dcterms:created>
  <dcterms:modified xsi:type="dcterms:W3CDTF">2023-12-05T13:37:56Z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1a09ceaf-3172-455e-86af-3bb277302270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{F46BEFFE-AB69-49B9-8C74-CD04D1CB1326}</vt:lpwstr>
  </property>
</Properties>
</file>